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11760" activeTab="4"/>
  </bookViews>
  <sheets>
    <sheet name="Classifica GEN" sheetId="1" r:id="rId1"/>
    <sheet name="Media al Km-BAsTest" sheetId="2" r:id="rId2"/>
    <sheet name="Performance2013" sheetId="3" r:id="rId3"/>
    <sheet name="Regolamento 2013" sheetId="4" r:id="rId4"/>
    <sheet name="dal 01Sett2013" sheetId="5" r:id="rId5"/>
  </sheets>
  <definedNames>
    <definedName name="_xlnm.Print_Area" localSheetId="0">'Classifica GEN'!#REF!</definedName>
    <definedName name="_xlnm.Print_Area" localSheetId="2">'Performance2013'!$A$1:$H$124</definedName>
    <definedName name="_xlnm.Print_Area" localSheetId="3">'Regolamento 2013'!$B$14:$E$32</definedName>
  </definedNames>
  <calcPr fullCalcOnLoad="1"/>
</workbook>
</file>

<file path=xl/comments1.xml><?xml version="1.0" encoding="utf-8"?>
<comments xmlns="http://schemas.openxmlformats.org/spreadsheetml/2006/main">
  <authors>
    <author>Alb_2009</author>
  </authors>
  <commentList>
    <comment ref="S1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A San Benedetto 4,19 al Km per punti 26,291 aggiunti</t>
        </r>
      </text>
    </comment>
    <comment ref="W14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A ConeroRun 4,29 al Km per punti 25,025 aggiunti</t>
        </r>
      </text>
    </comment>
    <comment ref="AL20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entrambe fatte</t>
        </r>
      </text>
    </comment>
    <comment ref="AL19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entrambe fatte</t>
        </r>
      </text>
    </comment>
  </commentList>
</comments>
</file>

<file path=xl/comments5.xml><?xml version="1.0" encoding="utf-8"?>
<comments xmlns="http://schemas.openxmlformats.org/spreadsheetml/2006/main">
  <authors>
    <author>Alb_2009</author>
  </authors>
  <commentList>
    <comment ref="W15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A ConeroRun 4,29 al Km per punti 25,025 aggiunti</t>
        </r>
      </text>
    </comment>
  </commentList>
</comments>
</file>

<file path=xl/sharedStrings.xml><?xml version="1.0" encoding="utf-8"?>
<sst xmlns="http://schemas.openxmlformats.org/spreadsheetml/2006/main" count="486" uniqueCount="292">
  <si>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</si>
  <si>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</si>
  <si>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</si>
  <si>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</si>
  <si>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</si>
  <si>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</si>
  <si>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</si>
  <si>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</si>
  <si>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</si>
  <si>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</si>
  <si>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</si>
  <si>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</si>
  <si>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</si>
  <si>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</si>
  <si>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</si>
  <si>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</si>
  <si>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</si>
  <si>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</si>
  <si>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</si>
  <si>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</si>
  <si>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</si>
  <si>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</si>
  <si>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</si>
  <si>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</si>
  <si>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</si>
  <si>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GARA 1</t>
  </si>
  <si>
    <t>GARA 2</t>
  </si>
  <si>
    <t>ATLETA</t>
  </si>
  <si>
    <t>MEDIA AL KM     -     KM ORARI</t>
  </si>
  <si>
    <t>Risultato Cronometrico ottenuto</t>
  </si>
  <si>
    <t>=</t>
  </si>
  <si>
    <t>Calcolo del ritmo</t>
  </si>
  <si>
    <t>Inserire la distanza</t>
  </si>
  <si>
    <t>Inserire il tempo conseguito</t>
  </si>
  <si>
    <t>Andatura al Km   e   Km/h</t>
  </si>
  <si>
    <t>Kilometri</t>
  </si>
  <si>
    <t>h</t>
  </si>
  <si>
    <t>min</t>
  </si>
  <si>
    <t>sec</t>
  </si>
  <si>
    <t>Km/h</t>
  </si>
  <si>
    <t>TOTALE PUNTI</t>
  </si>
  <si>
    <t>I dati faranno riferimento a classifiche ufficiali pubblicate ( Internet stampe organizzatori etc...)</t>
  </si>
  <si>
    <t xml:space="preserve">tempo effettivo </t>
  </si>
  <si>
    <t>tempo effettivo  -1,5min. /10Km</t>
  </si>
  <si>
    <t>tempo effettivo + 1,5min./10Km</t>
  </si>
  <si>
    <t>Valevole ai fini della determinazione del PASSO MEDIO  di Gara da cui i relativi Coefficienti di performance</t>
  </si>
  <si>
    <t>Var. ETA'</t>
  </si>
  <si>
    <t>tempo effettivo +  3  min./10Km</t>
  </si>
  <si>
    <t>tempo effettivo   -3  min. /10Km</t>
  </si>
  <si>
    <t>A) 0-30</t>
  </si>
  <si>
    <t>B) 30-40</t>
  </si>
  <si>
    <t>C) 40-50</t>
  </si>
  <si>
    <t>D) 50-60</t>
  </si>
  <si>
    <t>C) Macchiati Mauro</t>
  </si>
  <si>
    <t>C) Rita Alberto</t>
  </si>
  <si>
    <t>D) Scheggia Mario</t>
  </si>
  <si>
    <t>D) Berini Alessandro</t>
  </si>
  <si>
    <t>C) Vico Amina</t>
  </si>
  <si>
    <t>C) Locci Felice</t>
  </si>
  <si>
    <t>C) Tiburzi Lanfranco</t>
  </si>
  <si>
    <t>D) Berini Costantino</t>
  </si>
  <si>
    <t>D) Ilari Giuliano</t>
  </si>
  <si>
    <t>D) Bistosini Ferruccio</t>
  </si>
  <si>
    <t>C) Vico Alberto</t>
  </si>
  <si>
    <t>D) Principi Valerio</t>
  </si>
  <si>
    <t>C) Martinelli Marco</t>
  </si>
  <si>
    <t>D) Vico  Stefano</t>
  </si>
  <si>
    <t>C) Animento Andrea</t>
  </si>
  <si>
    <t>Vel. Min/KM</t>
  </si>
  <si>
    <t>Coeff. Prestaz.</t>
  </si>
  <si>
    <t xml:space="preserve">La Classifica è definita in base ai chilometri  Ufficiali percorsi in gara  da Atleti RUNNERS </t>
  </si>
  <si>
    <t>E) Perfetti Belgramo</t>
  </si>
  <si>
    <t>Lungh. Uff. Gara Km</t>
  </si>
  <si>
    <t>26°</t>
  </si>
  <si>
    <t>27°</t>
  </si>
  <si>
    <t>28°</t>
  </si>
  <si>
    <t>29°</t>
  </si>
  <si>
    <t>30°</t>
  </si>
  <si>
    <t>D) Parigiani Luigi</t>
  </si>
  <si>
    <t>E) Matricardi  Pietro</t>
  </si>
  <si>
    <t>MASCHI 0-21,1 K</t>
  </si>
  <si>
    <t>FEMMINE 0-21,1K</t>
  </si>
  <si>
    <t xml:space="preserve">&gt;21,1K MARAT. D </t>
  </si>
  <si>
    <t xml:space="preserve">&gt;21,1K MARAT. U </t>
  </si>
  <si>
    <t>E) Maurizi Benito</t>
  </si>
  <si>
    <t>E) Astolfi Mario</t>
  </si>
  <si>
    <t>E) Salciccia Vincenzo</t>
  </si>
  <si>
    <t>C) Cintioli Gianluca</t>
  </si>
  <si>
    <t xml:space="preserve">C) Verdini Stefano </t>
  </si>
  <si>
    <t>31°</t>
  </si>
  <si>
    <t>MASTERunners - SACEN  CORRIDONIA - MASTERunners</t>
  </si>
  <si>
    <t>Reg. 1</t>
  </si>
  <si>
    <t>Reg.2</t>
  </si>
  <si>
    <t xml:space="preserve">A parità di punti varranno per la classifica in ordine: Categoria di età di appartenenza, Tempi </t>
  </si>
  <si>
    <t xml:space="preserve">La partecipazione a manifestazioni non competitive il punteggio verrà assegnato in base alla distanza </t>
  </si>
  <si>
    <t>ufficiale delle stesse  considerata al 50% , senza alcun riferimento a tempi ed a relativi Bonus</t>
  </si>
  <si>
    <t>Reg.3</t>
  </si>
  <si>
    <t>N.b. Novità</t>
  </si>
  <si>
    <t xml:space="preserve">La partecipazione di atleti (senza distinzione di età) a gare competitive con passo più  lento dei </t>
  </si>
  <si>
    <t>Reg.5</t>
  </si>
  <si>
    <t>Reg.4</t>
  </si>
  <si>
    <t xml:space="preserve">Ci sarà dunque una sola classifica finale generale, abolite le classifiche dei tempi sulle distanze classiche  </t>
  </si>
  <si>
    <r>
      <t xml:space="preserve">In base alla classifiche dei tempi sulle distanze classiche dei 10K; 21K e 42K verranno assegnati , </t>
    </r>
    <r>
      <rPr>
        <b/>
        <sz val="10"/>
        <color indexed="10"/>
        <rFont val="Calisto MT"/>
        <family val="1"/>
      </rPr>
      <t>a fine</t>
    </r>
  </si>
  <si>
    <r>
      <rPr>
        <b/>
        <sz val="10"/>
        <color indexed="10"/>
        <rFont val="Calisto MT"/>
        <family val="1"/>
      </rPr>
      <t>Novembre</t>
    </r>
    <r>
      <rPr>
        <b/>
        <sz val="10"/>
        <rFont val="Calisto MT"/>
        <family val="1"/>
      </rPr>
      <t xml:space="preserve">, i seguenti punti validi per la classifica Generale: </t>
    </r>
  </si>
  <si>
    <t>La Variabile età viene considerata applicando al tempo  ottenuto nella  specifica gara  le seguenti   variazioni</t>
  </si>
  <si>
    <t>E)Oltre 60</t>
  </si>
  <si>
    <t>VMsu 3K al max</t>
  </si>
  <si>
    <t>sec.</t>
  </si>
  <si>
    <t>T1</t>
  </si>
  <si>
    <t>BAS TEST</t>
  </si>
  <si>
    <t>VM su 2K al max</t>
  </si>
  <si>
    <t>T2</t>
  </si>
  <si>
    <t>Velocità di soglia</t>
  </si>
  <si>
    <t>m/s</t>
  </si>
  <si>
    <t>Velocità di soglia Anaerobica</t>
  </si>
  <si>
    <t>RITMO soglia</t>
  </si>
  <si>
    <t>m/km</t>
  </si>
  <si>
    <t>RITMO di soglia Anaerobica</t>
  </si>
  <si>
    <t>Test di Soglia</t>
  </si>
  <si>
    <t xml:space="preserve">P.ti </t>
  </si>
  <si>
    <t>Punti TOT</t>
  </si>
  <si>
    <t>POSIZIONE</t>
  </si>
  <si>
    <t>33°</t>
  </si>
  <si>
    <t>v.media</t>
  </si>
  <si>
    <t>punti</t>
  </si>
  <si>
    <t>4K-6K(10K)</t>
  </si>
  <si>
    <t>D) Mochi Lauro</t>
  </si>
  <si>
    <t>C) Bonfigli Andrea</t>
  </si>
  <si>
    <t>C) Minnucci Luigi</t>
  </si>
  <si>
    <t>C) Ferretti Alessia</t>
  </si>
  <si>
    <t>C) Ciccioli Roberto</t>
  </si>
  <si>
    <t>N.B.</t>
  </si>
  <si>
    <t>Prestazioni con miglioramento del Personale sulla distanza rif. Dati dal 2011</t>
  </si>
  <si>
    <t>NK</t>
  </si>
  <si>
    <t>una sola volta a stagione per ogni distanza.</t>
  </si>
  <si>
    <t>Reg.7</t>
  </si>
  <si>
    <t>GARA3</t>
  </si>
  <si>
    <t>GARA 4</t>
  </si>
  <si>
    <t>GARA5</t>
  </si>
  <si>
    <t>34°</t>
  </si>
  <si>
    <t>C) Ginobili Adamo</t>
  </si>
  <si>
    <t>35°</t>
  </si>
  <si>
    <t>GARA6</t>
  </si>
  <si>
    <t>Nota bene  Record  Personale ma Bonus Già ricevuto</t>
  </si>
  <si>
    <t>GARA7</t>
  </si>
  <si>
    <t>E) Corsetti G.</t>
  </si>
  <si>
    <t>D) Astolfi Patrizio</t>
  </si>
  <si>
    <t>GARA8</t>
  </si>
  <si>
    <t>** Stessa procedura verrà adottata per la notturna di Mogliano</t>
  </si>
  <si>
    <t>C) Stortoni Sonia</t>
  </si>
  <si>
    <t>6min/Km - 6,30 per donne (+30 sec per &gt;30K) verrà considerata non compet. e dunque con metà punteggio</t>
  </si>
  <si>
    <t>D) Pistolesi Giuliano</t>
  </si>
  <si>
    <t>36°</t>
  </si>
  <si>
    <t>37°</t>
  </si>
  <si>
    <t>38°</t>
  </si>
  <si>
    <t>39°</t>
  </si>
  <si>
    <t>B) Del Brutto Roberto</t>
  </si>
  <si>
    <t>C) Ceci Pamela</t>
  </si>
  <si>
    <t>C) Contigiani David</t>
  </si>
  <si>
    <t>E) Trobbiani Luigi</t>
  </si>
  <si>
    <t>40°</t>
  </si>
  <si>
    <t>10K</t>
  </si>
  <si>
    <t xml:space="preserve">a Km relativamente alla distanza in cui si è migliorati. Tale Bonus è sfruttabile </t>
  </si>
  <si>
    <t>** Chi ha collaborato alla Corri Coridonia - come avesse Corso</t>
  </si>
  <si>
    <t>21K</t>
  </si>
  <si>
    <t>42K</t>
  </si>
  <si>
    <t>Migliori Prestazioni - PUNTI</t>
  </si>
  <si>
    <t>punto 5 del Regolamento</t>
  </si>
  <si>
    <t>2° Miglio tempo     22  Punti</t>
  </si>
  <si>
    <t>10° Miglio tempo   2  Punti</t>
  </si>
  <si>
    <t>9° Miglio tempo     4  Punti</t>
  </si>
  <si>
    <t>8° Miglio tempo     6  Punti</t>
  </si>
  <si>
    <t>7° Miglio tempo     8  Punti</t>
  </si>
  <si>
    <t>1° Miglio tempo     26  Punti</t>
  </si>
  <si>
    <t>3° Miglio tempo     18  Punti</t>
  </si>
  <si>
    <t>4° Miglio tempo     15  Punti</t>
  </si>
  <si>
    <t>5° Miglio tempo     12  Punti</t>
  </si>
  <si>
    <t>6° Miglio tempo     10  Punti</t>
  </si>
  <si>
    <t xml:space="preserve">Per chi migliora la propria prestazione sulle distanze "Classiche" dei 10K;  21K,  42K rispetto ai propri </t>
  </si>
  <si>
    <t>tempi in archivio  a partire dalla stagione 2011-2012,  rilevati sulle stesse distanze,  è previsto un bonus di 0,5 punti</t>
  </si>
  <si>
    <t xml:space="preserve">incrementati in base coefficienti di performance secondo lo schema "Performance" Allegato </t>
  </si>
  <si>
    <t>Regolamento Classifica MasterRUNNERS SACEN 2013</t>
  </si>
  <si>
    <t>Classifica  2013</t>
  </si>
  <si>
    <t>Versione 2,2</t>
  </si>
  <si>
    <t>Corsa Campestre Ancona 13-Genn</t>
  </si>
  <si>
    <t>Cross Castelraimondo              27-Genn              Meeting Nazionale Indor  ANCONA 6-12-Febbr</t>
  </si>
  <si>
    <t>4K-6K (10K)</t>
  </si>
  <si>
    <t>Stracivitanova   10-Mar              CampIt Indor Ancona 8-Mar</t>
  </si>
  <si>
    <t>21,1K(1500)</t>
  </si>
  <si>
    <t>41°</t>
  </si>
  <si>
    <t>D) Rita Fabrizio</t>
  </si>
  <si>
    <t>E) Morresi Claudio</t>
  </si>
  <si>
    <t>42°</t>
  </si>
  <si>
    <t>Marcia Valle del Chienti 24-Mar</t>
  </si>
  <si>
    <t>Tolentino Marcialonga 15-Mar</t>
  </si>
  <si>
    <t>NK(13)</t>
  </si>
  <si>
    <t>CorriCorridonia    (Maratona dell'adriatico)        24-Mar</t>
  </si>
  <si>
    <t>14K (42,2K)</t>
  </si>
  <si>
    <t>B) Spalletti Francesco</t>
  </si>
  <si>
    <t>43°</t>
  </si>
  <si>
    <t>CENTOBUCHI    17-Febb  MaratonSvalentino</t>
  </si>
  <si>
    <t>21,1K (42,2K)</t>
  </si>
  <si>
    <t>21,1K(42,2K)10NK</t>
  </si>
  <si>
    <t>GARA9</t>
  </si>
  <si>
    <t>MezzaM Fiori San Benedetto 15 Apr.   (Unescoe BOSTON Marathon 1e15Apr.)</t>
  </si>
  <si>
    <t>11,7NK</t>
  </si>
  <si>
    <t>MarcialG Fratellanz   CASETTE 21 Aprile</t>
  </si>
  <si>
    <t>GARA10</t>
  </si>
  <si>
    <t>GARA11</t>
  </si>
  <si>
    <t>AVIS-CASTELFIDARDO  Marcia Ville LUCCA - Maratona di Dusseldorf</t>
  </si>
  <si>
    <t>10K-28NK-42,2K</t>
  </si>
  <si>
    <t>15NK</t>
  </si>
  <si>
    <t>GARA12</t>
  </si>
  <si>
    <t>Macialonga Collevario   07 APR</t>
  </si>
  <si>
    <t>GARA13</t>
  </si>
  <si>
    <t>1° Maggio Trodica</t>
  </si>
  <si>
    <t>11NK</t>
  </si>
  <si>
    <t>GARA14</t>
  </si>
  <si>
    <t>10NK</t>
  </si>
  <si>
    <t>GARA15</t>
  </si>
  <si>
    <t>10k</t>
  </si>
  <si>
    <t>MARATONINA Elpidiense   19 Maggio</t>
  </si>
  <si>
    <t>Solidarietà San Claudio</t>
  </si>
  <si>
    <t>GARA16</t>
  </si>
  <si>
    <t>12,5K</t>
  </si>
  <si>
    <t>STRAMACERATA         26 Maggio 2013</t>
  </si>
  <si>
    <t>GARA17</t>
  </si>
  <si>
    <t>STRACASSERO           02Giugno2013</t>
  </si>
  <si>
    <t>12K</t>
  </si>
  <si>
    <t>GARA18</t>
  </si>
  <si>
    <t>10K - 800/1500mP</t>
  </si>
  <si>
    <t>AVIS SPINETOLI-P                     9 Giugno 2013 + CDS PISTA MONTECASSIANO</t>
  </si>
  <si>
    <t>GARA19</t>
  </si>
  <si>
    <t>23 Marc. Solidarietà - Podist. SARNANO - Solleone</t>
  </si>
  <si>
    <t>GARA20</t>
  </si>
  <si>
    <t>13K-nn-13,5K</t>
  </si>
  <si>
    <t>B) Baccifava DEMIS</t>
  </si>
  <si>
    <t>D) Candria Claudio</t>
  </si>
  <si>
    <t>A) Contigiani Alessandro</t>
  </si>
  <si>
    <t>44°</t>
  </si>
  <si>
    <t>C) PERRONI Paolo</t>
  </si>
  <si>
    <t>GARA21</t>
  </si>
  <si>
    <t>Notturna LORO PICENO</t>
  </si>
  <si>
    <t>9,3NK</t>
  </si>
  <si>
    <t>32°</t>
  </si>
  <si>
    <t>al 30/08/2013</t>
  </si>
  <si>
    <t>SOBRIETA'  + Millepiedi+Marcia dei 4Ponti- Montefan-MontGran-MontLup Fermo</t>
  </si>
  <si>
    <t>GARA22</t>
  </si>
  <si>
    <t>Conero Running - Maratona S Antonio  21/28Apr.+Liberazione</t>
  </si>
  <si>
    <t>8-9 NK</t>
  </si>
  <si>
    <t>CRETARSElpidio +Trebbiatura</t>
  </si>
  <si>
    <t>M lauretana -Tr5Torri   1-9 Sett 2013</t>
  </si>
  <si>
    <t>GARA 26</t>
  </si>
  <si>
    <t>21,1K - 10NK</t>
  </si>
  <si>
    <t>11,9NK</t>
  </si>
  <si>
    <t xml:space="preserve">URBSALVIA </t>
  </si>
  <si>
    <t>13K - 10K</t>
  </si>
  <si>
    <t>42,2 ,33 e 10K</t>
  </si>
  <si>
    <t>Porto San Giorgio 10 + marathon+Sbenedetto</t>
  </si>
  <si>
    <t>42K-10K</t>
  </si>
  <si>
    <t>Verona marathon    6 ottobre</t>
  </si>
  <si>
    <t>Mezza Marathon fermano                 6 Ottobre</t>
  </si>
  <si>
    <t>21,1 K</t>
  </si>
  <si>
    <t>trofeo extra Filottrano</t>
  </si>
  <si>
    <t>13K</t>
  </si>
  <si>
    <t>GARA25</t>
  </si>
  <si>
    <t>GARA 27</t>
  </si>
  <si>
    <t>GARA28</t>
  </si>
  <si>
    <t>GARA29</t>
  </si>
  <si>
    <t>GARA30</t>
  </si>
  <si>
    <t>GARA31</t>
  </si>
  <si>
    <t>GARA23</t>
  </si>
  <si>
    <t>GARA24</t>
  </si>
  <si>
    <t>42,2-21,1-var</t>
  </si>
  <si>
    <t>TROFEO PORTO S.ELPIDIO        20 OTT</t>
  </si>
  <si>
    <t>Maratone - Venezia e Francoforte mezza di ArezzoKonerTRAIL</t>
  </si>
  <si>
    <t xml:space="preserve">Corri a Piedi-ripa </t>
  </si>
  <si>
    <t>12.5 K</t>
  </si>
  <si>
    <t>15K</t>
  </si>
  <si>
    <t>Corsa Di San Martino</t>
  </si>
  <si>
    <t>GARA32</t>
  </si>
  <si>
    <t>GARA33</t>
  </si>
  <si>
    <t>GARA34</t>
  </si>
  <si>
    <t>GARA35</t>
  </si>
  <si>
    <t>42,2K</t>
  </si>
  <si>
    <t>Corsa di babbo Natale Sarnano</t>
  </si>
  <si>
    <t>fino al 1 sett</t>
  </si>
  <si>
    <t>16NK</t>
  </si>
  <si>
    <t>Acquacanina  28 Luglio 2013</t>
  </si>
  <si>
    <t>maratonina di Portorecanati   15-09-2013 Senigallia</t>
  </si>
  <si>
    <t>FIRENZE MARATHON Porto Sant'Elpidio+Colmurano</t>
  </si>
  <si>
    <t>Torquati Alessandra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</si>
</sst>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  <numFmt numFmtId="168" formatCode="[$-410]dddd\ d\ mmmm\ yyyy"/>
    <numFmt numFmtId="169" formatCode="h\.mm\.ss"/>
    <numFmt numFmtId="170" formatCode="0.00000"/>
    <numFmt numFmtId="171" formatCode="0.000000"/>
  </numFmts>
  <fonts count="61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16"/>
      <name val="Arial Rounded MT Bold"/>
      <family val="2"/>
    </font>
    <font>
      <sz val="10"/>
      <color indexed="53"/>
      <name val="Arial Rounded MT Bold"/>
      <family val="2"/>
    </font>
    <font>
      <sz val="10"/>
      <color indexed="18"/>
      <name val="Arial Rounded MT Bold"/>
      <family val="2"/>
    </font>
    <font>
      <sz val="10"/>
      <color indexed="12"/>
      <name val="Arial Rounded MT Bold"/>
      <family val="2"/>
    </font>
    <font>
      <sz val="10"/>
      <color indexed="48"/>
      <name val="Arial Rounded MT Bold"/>
      <family val="2"/>
    </font>
    <font>
      <sz val="14"/>
      <name val="DomBold BT"/>
      <family val="4"/>
    </font>
    <font>
      <sz val="10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Calisto MT"/>
      <family val="1"/>
    </font>
    <font>
      <b/>
      <sz val="10"/>
      <color indexed="10"/>
      <name val="Calisto MT"/>
      <family val="1"/>
    </font>
    <font>
      <sz val="12"/>
      <color indexed="10"/>
      <name val="Calisto MT"/>
      <family val="1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17"/>
      <name val="Calisto MT"/>
      <family val="1"/>
    </font>
    <font>
      <sz val="12"/>
      <color indexed="62"/>
      <name val="Calisto MT"/>
      <family val="1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0"/>
      <name val="Calibri"/>
      <family val="2"/>
    </font>
    <font>
      <b/>
      <sz val="10"/>
      <color indexed="14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i/>
      <sz val="16"/>
      <color indexed="9"/>
      <name val="Arial Black"/>
      <family val="2"/>
    </font>
    <font>
      <b/>
      <sz val="11"/>
      <color indexed="17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1" applyNumberFormat="0" applyAlignment="0" applyProtection="0"/>
    <xf numFmtId="0" fontId="43" fillId="0" borderId="2" applyNumberFormat="0" applyFill="0" applyAlignment="0" applyProtection="0"/>
    <xf numFmtId="0" fontId="44" fillId="1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4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49" fillId="16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2" fontId="23" fillId="18" borderId="0" xfId="38" applyNumberFormat="1" applyAlignment="1">
      <alignment horizontal="center"/>
    </xf>
    <xf numFmtId="166" fontId="23" fillId="18" borderId="0" xfId="38" applyNumberFormat="1" applyAlignment="1">
      <alignment horizontal="center"/>
    </xf>
    <xf numFmtId="2" fontId="57" fillId="3" borderId="0" xfId="63" applyNumberFormat="1" applyAlignment="1">
      <alignment horizontal="center"/>
    </xf>
    <xf numFmtId="166" fontId="57" fillId="3" borderId="0" xfId="63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8" fillId="4" borderId="0" xfId="64" applyNumberFormat="1" applyAlignment="1">
      <alignment horizontal="center"/>
    </xf>
    <xf numFmtId="166" fontId="58" fillId="4" borderId="0" xfId="64" applyNumberFormat="1" applyAlignment="1">
      <alignment horizontal="center"/>
    </xf>
    <xf numFmtId="2" fontId="41" fillId="3" borderId="0" xfId="16" applyNumberFormat="1" applyAlignment="1">
      <alignment horizontal="center"/>
    </xf>
    <xf numFmtId="166" fontId="41" fillId="3" borderId="0" xfId="16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2" fontId="0" fillId="3" borderId="0" xfId="0" applyNumberForma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ont="1" applyAlignment="1">
      <alignment/>
    </xf>
    <xf numFmtId="0" fontId="23" fillId="20" borderId="19" xfId="40" applyBorder="1" applyAlignment="1">
      <alignment/>
    </xf>
    <xf numFmtId="0" fontId="23" fillId="18" borderId="20" xfId="38" applyBorder="1" applyAlignment="1">
      <alignment/>
    </xf>
    <xf numFmtId="0" fontId="23" fillId="19" borderId="21" xfId="39" applyBorder="1" applyAlignment="1">
      <alignment/>
    </xf>
    <xf numFmtId="0" fontId="57" fillId="3" borderId="22" xfId="63" applyBorder="1" applyAlignment="1">
      <alignment/>
    </xf>
    <xf numFmtId="0" fontId="23" fillId="13" borderId="23" xfId="4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3" fillId="17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5" xfId="0" applyFont="1" applyFill="1" applyBorder="1" applyAlignment="1">
      <alignment horizontal="left"/>
    </xf>
    <xf numFmtId="0" fontId="0" fillId="17" borderId="25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3" fillId="0" borderId="0" xfId="0" applyFont="1" applyAlignment="1">
      <alignment vertical="center" shrinkToFi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0" fillId="0" borderId="0" xfId="49" applyFill="1" applyAlignment="1">
      <alignment vertical="top" wrapText="1"/>
      <protection/>
    </xf>
    <xf numFmtId="0" fontId="0" fillId="0" borderId="0" xfId="49" applyFill="1" applyBorder="1" applyAlignment="1">
      <alignment vertical="top" wrapText="1"/>
      <protection/>
    </xf>
    <xf numFmtId="0" fontId="0" fillId="0" borderId="0" xfId="49" applyBorder="1">
      <alignment/>
      <protection/>
    </xf>
    <xf numFmtId="0" fontId="13" fillId="0" borderId="0" xfId="49" applyFont="1" applyBorder="1" applyAlignment="1">
      <alignment horizontal="center" vertical="center" wrapText="1"/>
      <protection/>
    </xf>
    <xf numFmtId="0" fontId="28" fillId="0" borderId="0" xfId="49" applyFont="1" applyBorder="1" applyAlignment="1">
      <alignment horizontal="center" vertical="center" wrapText="1"/>
      <protection/>
    </xf>
    <xf numFmtId="0" fontId="0" fillId="12" borderId="27" xfId="49" applyFill="1" applyBorder="1" applyAlignment="1">
      <alignment horizontal="center" vertical="center" wrapText="1"/>
      <protection/>
    </xf>
    <xf numFmtId="0" fontId="0" fillId="12" borderId="27" xfId="49" applyFill="1" applyBorder="1" applyAlignment="1">
      <alignment vertical="top" wrapText="1"/>
      <protection/>
    </xf>
    <xf numFmtId="2" fontId="29" fillId="0" borderId="28" xfId="49" applyNumberFormat="1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horizontal="center" vertical="center"/>
      <protection/>
    </xf>
    <xf numFmtId="0" fontId="58" fillId="4" borderId="0" xfId="64" applyBorder="1" applyAlignment="1">
      <alignment vertical="center" shrinkToFit="1"/>
    </xf>
    <xf numFmtId="0" fontId="58" fillId="4" borderId="0" xfId="64" applyBorder="1" applyAlignment="1">
      <alignment horizontal="center" vertical="top"/>
    </xf>
    <xf numFmtId="0" fontId="58" fillId="4" borderId="0" xfId="64" applyBorder="1" applyAlignment="1">
      <alignment/>
    </xf>
    <xf numFmtId="0" fontId="58" fillId="4" borderId="0" xfId="64" applyBorder="1" applyAlignment="1">
      <alignment/>
    </xf>
    <xf numFmtId="0" fontId="58" fillId="4" borderId="0" xfId="64" applyAlignment="1">
      <alignment/>
    </xf>
    <xf numFmtId="2" fontId="28" fillId="0" borderId="28" xfId="49" applyNumberFormat="1" applyFont="1" applyBorder="1" applyAlignment="1">
      <alignment horizontal="center" vertical="center" wrapText="1"/>
      <protection/>
    </xf>
    <xf numFmtId="164" fontId="19" fillId="0" borderId="0" xfId="4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0" fillId="8" borderId="29" xfId="0" applyFont="1" applyFill="1" applyBorder="1" applyAlignment="1">
      <alignment horizontal="center"/>
    </xf>
    <xf numFmtId="0" fontId="30" fillId="8" borderId="3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48" fillId="0" borderId="0" xfId="47" applyFill="1" applyAlignment="1">
      <alignment/>
    </xf>
    <xf numFmtId="0" fontId="31" fillId="3" borderId="0" xfId="63" applyFont="1" applyAlignment="1">
      <alignment horizontal="center" wrapText="1"/>
    </xf>
    <xf numFmtId="0" fontId="57" fillId="3" borderId="0" xfId="63" applyAlignment="1">
      <alignment horizontal="center"/>
    </xf>
    <xf numFmtId="0" fontId="0" fillId="3" borderId="0" xfId="0" applyFill="1" applyAlignment="1">
      <alignment horizontal="center"/>
    </xf>
    <xf numFmtId="0" fontId="32" fillId="3" borderId="18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166" fontId="3" fillId="22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7" borderId="25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6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3" fillId="0" borderId="0" xfId="0" applyNumberFormat="1" applyFont="1" applyFill="1" applyAlignment="1">
      <alignment horizontal="center"/>
    </xf>
    <xf numFmtId="166" fontId="33" fillId="3" borderId="0" xfId="0" applyNumberFormat="1" applyFont="1" applyFill="1" applyAlignment="1">
      <alignment horizontal="center"/>
    </xf>
    <xf numFmtId="0" fontId="22" fillId="0" borderId="16" xfId="0" applyFont="1" applyBorder="1" applyAlignment="1">
      <alignment horizontal="center" wrapText="1"/>
    </xf>
    <xf numFmtId="166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166" fontId="0" fillId="6" borderId="0" xfId="0" applyNumberFormat="1" applyFont="1" applyFill="1" applyBorder="1" applyAlignment="1">
      <alignment horizontal="center" wrapText="1"/>
    </xf>
    <xf numFmtId="166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166" fontId="0" fillId="6" borderId="0" xfId="0" applyNumberFormat="1" applyFont="1" applyFill="1" applyAlignment="1">
      <alignment horizontal="center" wrapText="1"/>
    </xf>
    <xf numFmtId="166" fontId="0" fillId="12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2" fillId="6" borderId="0" xfId="0" applyFont="1" applyFill="1" applyAlignment="1">
      <alignment wrapText="1"/>
    </xf>
    <xf numFmtId="166" fontId="0" fillId="6" borderId="0" xfId="0" applyNumberFormat="1" applyFont="1" applyFill="1" applyAlignment="1">
      <alignment/>
    </xf>
    <xf numFmtId="166" fontId="0" fillId="6" borderId="0" xfId="0" applyNumberFormat="1" applyFill="1" applyAlignment="1">
      <alignment horizontal="center"/>
    </xf>
    <xf numFmtId="0" fontId="0" fillId="17" borderId="0" xfId="0" applyFont="1" applyFill="1" applyAlignment="1">
      <alignment horizontal="center"/>
    </xf>
    <xf numFmtId="164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vertical="center"/>
    </xf>
    <xf numFmtId="2" fontId="11" fillId="27" borderId="0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21" fillId="6" borderId="14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0" fillId="8" borderId="0" xfId="0" applyFont="1" applyFill="1" applyAlignment="1">
      <alignment horizontal="center"/>
    </xf>
    <xf numFmtId="166" fontId="3" fillId="27" borderId="0" xfId="0" applyNumberFormat="1" applyFont="1" applyFill="1" applyAlignment="1">
      <alignment/>
    </xf>
    <xf numFmtId="1" fontId="3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27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/>
    </xf>
    <xf numFmtId="166" fontId="3" fillId="3" borderId="0" xfId="0" applyNumberFormat="1" applyFont="1" applyFill="1" applyAlignment="1">
      <alignment/>
    </xf>
    <xf numFmtId="0" fontId="0" fillId="8" borderId="0" xfId="0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0" fillId="27" borderId="31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4" xfId="0" applyFill="1" applyBorder="1" applyAlignment="1">
      <alignment/>
    </xf>
    <xf numFmtId="0" fontId="3" fillId="25" borderId="31" xfId="0" applyFont="1" applyFill="1" applyBorder="1" applyAlignment="1">
      <alignment/>
    </xf>
    <xf numFmtId="0" fontId="3" fillId="25" borderId="33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3" xfId="0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2" borderId="36" xfId="0" applyFill="1" applyBorder="1" applyAlignment="1">
      <alignment/>
    </xf>
    <xf numFmtId="0" fontId="0" fillId="22" borderId="37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3" fillId="16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0" fillId="19" borderId="0" xfId="49" applyNumberFormat="1" applyFill="1" applyAlignment="1">
      <alignment horizontal="center"/>
      <protection/>
    </xf>
    <xf numFmtId="166" fontId="0" fillId="0" borderId="0" xfId="49" applyNumberFormat="1" applyFill="1" applyAlignment="1">
      <alignment horizontal="center"/>
      <protection/>
    </xf>
    <xf numFmtId="0" fontId="0" fillId="16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11" borderId="0" xfId="49" applyNumberFormat="1" applyFill="1" applyAlignment="1">
      <alignment horizontal="center"/>
      <protection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166" fontId="0" fillId="2" borderId="0" xfId="0" applyNumberFormat="1" applyFill="1" applyAlignment="1">
      <alignment horizontal="center"/>
    </xf>
    <xf numFmtId="166" fontId="0" fillId="2" borderId="0" xfId="49" applyNumberFormat="1" applyFill="1" applyAlignment="1">
      <alignment horizontal="center"/>
      <protection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166" fontId="0" fillId="27" borderId="0" xfId="0" applyNumberFormat="1" applyFill="1" applyAlignment="1">
      <alignment horizontal="center"/>
    </xf>
    <xf numFmtId="166" fontId="0" fillId="27" borderId="0" xfId="0" applyNumberFormat="1" applyFont="1" applyFill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26" borderId="0" xfId="0" applyFont="1" applyFill="1" applyAlignment="1">
      <alignment/>
    </xf>
    <xf numFmtId="166" fontId="0" fillId="2" borderId="0" xfId="0" applyNumberFormat="1" applyFont="1" applyFill="1" applyAlignment="1">
      <alignment horizontal="center"/>
    </xf>
    <xf numFmtId="166" fontId="0" fillId="2" borderId="0" xfId="49" applyNumberFormat="1" applyFont="1" applyFill="1" applyAlignment="1">
      <alignment horizontal="center"/>
      <protection/>
    </xf>
    <xf numFmtId="166" fontId="0" fillId="28" borderId="0" xfId="49" applyNumberFormat="1" applyFill="1" applyAlignment="1">
      <alignment horizontal="center"/>
      <protection/>
    </xf>
    <xf numFmtId="166" fontId="0" fillId="28" borderId="0" xfId="0" applyNumberFormat="1" applyFill="1" applyAlignment="1">
      <alignment horizontal="center"/>
    </xf>
    <xf numFmtId="166" fontId="0" fillId="28" borderId="0" xfId="0" applyNumberFormat="1" applyFont="1" applyFill="1" applyAlignment="1">
      <alignment horizontal="center"/>
    </xf>
    <xf numFmtId="0" fontId="0" fillId="28" borderId="0" xfId="0" applyFill="1" applyAlignment="1">
      <alignment horizontal="center"/>
    </xf>
    <xf numFmtId="2" fontId="0" fillId="0" borderId="0" xfId="49" applyNumberFormat="1" applyFill="1" applyAlignment="1">
      <alignment horizontal="center"/>
      <protection/>
    </xf>
    <xf numFmtId="166" fontId="0" fillId="2" borderId="0" xfId="49" applyNumberFormat="1" applyFill="1" applyAlignment="1">
      <alignment horizontal="center"/>
      <protection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49" applyNumberFormat="1" applyFill="1" applyAlignment="1">
      <alignment horizontal="center"/>
      <protection/>
    </xf>
    <xf numFmtId="166" fontId="0" fillId="19" borderId="0" xfId="49" applyNumberFormat="1" applyFill="1" applyAlignment="1">
      <alignment horizontal="center"/>
      <protection/>
    </xf>
    <xf numFmtId="166" fontId="3" fillId="11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14" borderId="18" xfId="0" applyFont="1" applyFill="1" applyBorder="1" applyAlignment="1">
      <alignment/>
    </xf>
    <xf numFmtId="0" fontId="32" fillId="14" borderId="18" xfId="0" applyFont="1" applyFill="1" applyBorder="1" applyAlignment="1">
      <alignment/>
    </xf>
    <xf numFmtId="0" fontId="40" fillId="1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 shrinkToFit="1"/>
    </xf>
    <xf numFmtId="164" fontId="11" fillId="0" borderId="11" xfId="0" applyNumberFormat="1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 wrapText="1"/>
      <protection/>
    </xf>
    <xf numFmtId="0" fontId="36" fillId="4" borderId="0" xfId="64" applyFont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" fillId="9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26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35" fillId="19" borderId="38" xfId="0" applyFont="1" applyFill="1" applyBorder="1" applyAlignment="1">
      <alignment horizontal="center" vertical="center"/>
    </xf>
    <xf numFmtId="0" fontId="35" fillId="19" borderId="39" xfId="0" applyFont="1" applyFill="1" applyBorder="1" applyAlignment="1">
      <alignment horizontal="center" vertical="center"/>
    </xf>
    <xf numFmtId="0" fontId="35" fillId="19" borderId="40" xfId="0" applyFont="1" applyFill="1" applyBorder="1" applyAlignment="1">
      <alignment horizontal="center" vertical="center"/>
    </xf>
    <xf numFmtId="0" fontId="35" fillId="19" borderId="12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0" fontId="35" fillId="19" borderId="13" xfId="0" applyFont="1" applyFill="1" applyBorder="1" applyAlignment="1">
      <alignment horizontal="center" vertical="center"/>
    </xf>
    <xf numFmtId="0" fontId="16" fillId="8" borderId="41" xfId="0" applyFont="1" applyFill="1" applyBorder="1" applyAlignment="1">
      <alignment horizontal="center"/>
    </xf>
    <xf numFmtId="0" fontId="14" fillId="8" borderId="41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49" fontId="3" fillId="27" borderId="14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/>
    </xf>
    <xf numFmtId="0" fontId="28" fillId="0" borderId="0" xfId="49" applyFont="1" applyFill="1" applyBorder="1" applyAlignment="1">
      <alignment horizontal="center" vertical="center" wrapText="1"/>
      <protection/>
    </xf>
    <xf numFmtId="0" fontId="20" fillId="12" borderId="27" xfId="49" applyFont="1" applyFill="1" applyBorder="1" applyAlignment="1">
      <alignment horizontal="center" vertical="center" wrapText="1"/>
      <protection/>
    </xf>
    <xf numFmtId="0" fontId="20" fillId="12" borderId="0" xfId="49" applyFont="1" applyFill="1" applyBorder="1" applyAlignment="1">
      <alignment horizontal="center" vertical="center" wrapText="1"/>
      <protection/>
    </xf>
    <xf numFmtId="0" fontId="58" fillId="0" borderId="0" xfId="64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rmale 5" xfId="50"/>
    <cellStyle name="Normale 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63"/>
  <sheetViews>
    <sheetView zoomScale="75" zoomScaleNormal="75" zoomScalePageLayoutView="0" workbookViewId="0" topLeftCell="A13">
      <selection activeCell="R47" sqref="R47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23.00390625" style="0" customWidth="1"/>
    <col min="4" max="4" width="2.57421875" style="1" customWidth="1"/>
    <col min="5" max="5" width="13.7109375" style="1" customWidth="1"/>
    <col min="6" max="12" width="7.57421875" style="1" customWidth="1"/>
    <col min="13" max="16" width="7.57421875" style="0" customWidth="1"/>
    <col min="17" max="23" width="7.57421875" style="1" customWidth="1"/>
    <col min="24" max="24" width="8.7109375" style="1" customWidth="1"/>
    <col min="25" max="47" width="7.57421875" style="1" customWidth="1"/>
    <col min="48" max="48" width="2.57421875" style="0" customWidth="1"/>
    <col min="49" max="49" width="12.57421875" style="0" customWidth="1"/>
    <col min="50" max="50" width="2.00390625" style="0" customWidth="1"/>
    <col min="54" max="54" width="13.140625" style="0" customWidth="1"/>
    <col min="56" max="56" width="9.00390625" style="5" customWidth="1"/>
  </cols>
  <sheetData>
    <row r="1" ht="7.5" customHeight="1" thickBot="1"/>
    <row r="2" spans="1:54" ht="20.25" customHeight="1" thickTop="1">
      <c r="A2" s="27"/>
      <c r="B2" s="265" t="s">
        <v>90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7"/>
      <c r="AX2" s="25"/>
      <c r="AY2" s="264" t="s">
        <v>166</v>
      </c>
      <c r="AZ2" s="264"/>
      <c r="BA2" s="264"/>
      <c r="BB2" s="178"/>
    </row>
    <row r="3" spans="1:54" ht="8.25" customHeight="1">
      <c r="A3" s="27"/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70"/>
      <c r="AX3" s="26"/>
      <c r="AY3" s="161"/>
      <c r="AZ3" s="161"/>
      <c r="BA3" s="161"/>
      <c r="BB3" s="178"/>
    </row>
    <row r="4" spans="1:54" ht="22.5" customHeight="1" thickBot="1">
      <c r="A4" s="23"/>
      <c r="B4" s="108" t="s">
        <v>245</v>
      </c>
      <c r="C4" s="271" t="s">
        <v>182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109" t="s">
        <v>183</v>
      </c>
      <c r="AX4" s="23"/>
      <c r="AY4" s="161"/>
      <c r="AZ4" s="161" t="s">
        <v>167</v>
      </c>
      <c r="BA4" s="161"/>
      <c r="BB4" s="178"/>
    </row>
    <row r="5" spans="2:54" ht="9.75" customHeight="1" thickTop="1">
      <c r="B5" s="23"/>
      <c r="O5" s="237"/>
      <c r="P5" s="237"/>
      <c r="Y5" s="238"/>
      <c r="Z5" s="238"/>
      <c r="AC5" s="238"/>
      <c r="AD5" s="238"/>
      <c r="AI5" s="238"/>
      <c r="AJ5" s="238"/>
      <c r="AW5" s="23"/>
      <c r="AY5" s="161"/>
      <c r="AZ5" s="167"/>
      <c r="BA5" s="161"/>
      <c r="BB5" s="178"/>
    </row>
    <row r="6" spans="2:54" ht="15">
      <c r="B6" s="112"/>
      <c r="C6" s="1"/>
      <c r="D6" s="273" t="s">
        <v>119</v>
      </c>
      <c r="E6" s="273"/>
      <c r="F6" s="261" t="s">
        <v>25</v>
      </c>
      <c r="G6" s="275"/>
      <c r="H6" s="262" t="s">
        <v>26</v>
      </c>
      <c r="I6" s="274"/>
      <c r="J6" s="275" t="s">
        <v>136</v>
      </c>
      <c r="K6" s="275"/>
      <c r="L6" s="262" t="s">
        <v>137</v>
      </c>
      <c r="M6" s="262"/>
      <c r="N6" s="202" t="s">
        <v>138</v>
      </c>
      <c r="O6" s="261" t="s">
        <v>142</v>
      </c>
      <c r="P6" s="261"/>
      <c r="Q6" s="262" t="s">
        <v>144</v>
      </c>
      <c r="R6" s="262"/>
      <c r="S6" s="261" t="s">
        <v>147</v>
      </c>
      <c r="T6" s="261"/>
      <c r="U6" s="218" t="s">
        <v>203</v>
      </c>
      <c r="V6" s="218" t="s">
        <v>207</v>
      </c>
      <c r="W6" s="261" t="s">
        <v>208</v>
      </c>
      <c r="X6" s="261"/>
      <c r="Y6" s="260" t="s">
        <v>212</v>
      </c>
      <c r="Z6" s="260"/>
      <c r="AA6" s="202" t="s">
        <v>214</v>
      </c>
      <c r="AB6" s="202" t="s">
        <v>217</v>
      </c>
      <c r="AC6" s="260" t="s">
        <v>219</v>
      </c>
      <c r="AD6" s="260"/>
      <c r="AE6" s="261" t="s">
        <v>223</v>
      </c>
      <c r="AF6" s="261"/>
      <c r="AG6" s="260" t="s">
        <v>226</v>
      </c>
      <c r="AH6" s="260"/>
      <c r="AI6" s="261" t="s">
        <v>229</v>
      </c>
      <c r="AJ6" s="261"/>
      <c r="AK6" s="260" t="s">
        <v>232</v>
      </c>
      <c r="AL6" s="260"/>
      <c r="AM6" s="261" t="s">
        <v>234</v>
      </c>
      <c r="AN6" s="261"/>
      <c r="AO6" s="202" t="s">
        <v>241</v>
      </c>
      <c r="AP6" s="202" t="s">
        <v>247</v>
      </c>
      <c r="AQ6" s="202"/>
      <c r="AR6" s="202"/>
      <c r="AS6" s="202"/>
      <c r="AT6" s="202"/>
      <c r="AU6" s="130" t="s">
        <v>147</v>
      </c>
      <c r="AV6" s="146"/>
      <c r="AW6" s="110"/>
      <c r="AY6" s="161"/>
      <c r="AZ6" s="161"/>
      <c r="BA6" s="161"/>
      <c r="BB6" s="178"/>
    </row>
    <row r="7" spans="2:54" ht="52.5" customHeight="1">
      <c r="B7" s="114" t="s">
        <v>121</v>
      </c>
      <c r="C7" s="113" t="s">
        <v>27</v>
      </c>
      <c r="D7" s="263"/>
      <c r="E7" s="263"/>
      <c r="F7" s="263" t="s">
        <v>184</v>
      </c>
      <c r="G7" s="263"/>
      <c r="H7" s="263" t="s">
        <v>185</v>
      </c>
      <c r="I7" s="263"/>
      <c r="J7" s="263" t="s">
        <v>200</v>
      </c>
      <c r="K7" s="263"/>
      <c r="L7" s="263" t="s">
        <v>187</v>
      </c>
      <c r="M7" s="263"/>
      <c r="N7" s="37" t="s">
        <v>194</v>
      </c>
      <c r="O7" s="263" t="s">
        <v>193</v>
      </c>
      <c r="P7" s="263"/>
      <c r="Q7" s="263" t="s">
        <v>196</v>
      </c>
      <c r="R7" s="263"/>
      <c r="S7" s="259" t="s">
        <v>204</v>
      </c>
      <c r="T7" s="259"/>
      <c r="U7" s="217" t="s">
        <v>206</v>
      </c>
      <c r="V7" s="217" t="s">
        <v>213</v>
      </c>
      <c r="W7" s="259" t="s">
        <v>248</v>
      </c>
      <c r="X7" s="259"/>
      <c r="Y7" s="259" t="s">
        <v>209</v>
      </c>
      <c r="Z7" s="259"/>
      <c r="AA7" s="217" t="s">
        <v>215</v>
      </c>
      <c r="AB7" s="217" t="s">
        <v>222</v>
      </c>
      <c r="AC7" s="259" t="s">
        <v>221</v>
      </c>
      <c r="AD7" s="259"/>
      <c r="AE7" s="259" t="s">
        <v>225</v>
      </c>
      <c r="AF7" s="259"/>
      <c r="AG7" s="259" t="s">
        <v>227</v>
      </c>
      <c r="AH7" s="259"/>
      <c r="AI7" s="259" t="s">
        <v>231</v>
      </c>
      <c r="AJ7" s="259"/>
      <c r="AK7" s="259" t="s">
        <v>233</v>
      </c>
      <c r="AL7" s="259"/>
      <c r="AM7" s="259" t="s">
        <v>246</v>
      </c>
      <c r="AN7" s="259"/>
      <c r="AO7" s="217" t="s">
        <v>242</v>
      </c>
      <c r="AP7" s="217" t="s">
        <v>250</v>
      </c>
      <c r="AQ7" s="217" t="s">
        <v>288</v>
      </c>
      <c r="AR7" s="217"/>
      <c r="AS7" s="217"/>
      <c r="AT7" s="217"/>
      <c r="AU7" s="37"/>
      <c r="AV7" s="155"/>
      <c r="AW7" s="111" t="s">
        <v>40</v>
      </c>
      <c r="AY7" s="162" t="s">
        <v>161</v>
      </c>
      <c r="AZ7" s="162" t="s">
        <v>164</v>
      </c>
      <c r="BA7" s="162" t="s">
        <v>165</v>
      </c>
      <c r="BB7" s="178"/>
    </row>
    <row r="8" spans="2:54" ht="15" customHeight="1">
      <c r="B8" s="257" t="s">
        <v>72</v>
      </c>
      <c r="C8" s="257"/>
      <c r="D8" s="253" t="s">
        <v>120</v>
      </c>
      <c r="E8" s="253"/>
      <c r="F8" s="255" t="s">
        <v>186</v>
      </c>
      <c r="G8" s="255"/>
      <c r="H8" s="254" t="s">
        <v>125</v>
      </c>
      <c r="I8" s="254"/>
      <c r="J8" s="276" t="s">
        <v>201</v>
      </c>
      <c r="K8" s="276"/>
      <c r="L8" s="276" t="s">
        <v>188</v>
      </c>
      <c r="M8" s="276"/>
      <c r="N8" s="198" t="s">
        <v>195</v>
      </c>
      <c r="O8" s="276" t="s">
        <v>161</v>
      </c>
      <c r="P8" s="276"/>
      <c r="Q8" s="255" t="s">
        <v>197</v>
      </c>
      <c r="R8" s="255"/>
      <c r="S8" s="256" t="s">
        <v>202</v>
      </c>
      <c r="T8" s="258"/>
      <c r="U8" s="28" t="s">
        <v>205</v>
      </c>
      <c r="V8" s="28" t="s">
        <v>211</v>
      </c>
      <c r="W8" s="258" t="s">
        <v>201</v>
      </c>
      <c r="X8" s="258"/>
      <c r="Y8" s="258" t="s">
        <v>210</v>
      </c>
      <c r="Z8" s="258"/>
      <c r="AA8" s="28" t="s">
        <v>216</v>
      </c>
      <c r="AB8" s="28" t="s">
        <v>218</v>
      </c>
      <c r="AC8" s="258" t="s">
        <v>220</v>
      </c>
      <c r="AD8" s="258"/>
      <c r="AE8" s="258" t="s">
        <v>224</v>
      </c>
      <c r="AF8" s="258"/>
      <c r="AG8" s="258" t="s">
        <v>228</v>
      </c>
      <c r="AH8" s="258"/>
      <c r="AI8" s="256" t="s">
        <v>230</v>
      </c>
      <c r="AJ8" s="258"/>
      <c r="AK8" s="258" t="s">
        <v>161</v>
      </c>
      <c r="AL8" s="258"/>
      <c r="AM8" s="256" t="s">
        <v>235</v>
      </c>
      <c r="AN8" s="258"/>
      <c r="AO8" s="28" t="s">
        <v>243</v>
      </c>
      <c r="AP8" s="28" t="s">
        <v>249</v>
      </c>
      <c r="AQ8" s="28" t="s">
        <v>287</v>
      </c>
      <c r="AR8" s="28"/>
      <c r="AS8" s="28"/>
      <c r="AT8" s="28"/>
      <c r="AU8" s="28"/>
      <c r="AV8" s="156"/>
      <c r="AW8" s="111"/>
      <c r="AY8" s="178"/>
      <c r="AZ8" s="178"/>
      <c r="BA8" s="178"/>
      <c r="BB8" s="178"/>
    </row>
    <row r="9" spans="2:54" ht="15" customHeight="1">
      <c r="B9" s="29"/>
      <c r="C9" s="30"/>
      <c r="D9" s="253"/>
      <c r="E9" s="253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134"/>
      <c r="AV9" s="153"/>
      <c r="AW9" s="111"/>
      <c r="AY9" s="178"/>
      <c r="AZ9" s="178"/>
      <c r="BA9" s="178"/>
      <c r="BB9" s="178"/>
    </row>
    <row r="10" spans="2:54" ht="13.5" customHeight="1">
      <c r="B10" s="44"/>
      <c r="C10" s="45"/>
      <c r="E10" s="20"/>
      <c r="F10" s="44" t="s">
        <v>123</v>
      </c>
      <c r="G10" s="44" t="s">
        <v>124</v>
      </c>
      <c r="H10" s="44" t="s">
        <v>123</v>
      </c>
      <c r="I10" s="44" t="s">
        <v>124</v>
      </c>
      <c r="J10" s="44" t="s">
        <v>123</v>
      </c>
      <c r="K10" s="44" t="s">
        <v>124</v>
      </c>
      <c r="L10" s="44" t="s">
        <v>123</v>
      </c>
      <c r="M10" s="44" t="s">
        <v>124</v>
      </c>
      <c r="N10" s="44" t="s">
        <v>124</v>
      </c>
      <c r="O10" s="44" t="s">
        <v>123</v>
      </c>
      <c r="P10" s="44" t="s">
        <v>124</v>
      </c>
      <c r="Q10" s="44" t="s">
        <v>123</v>
      </c>
      <c r="R10" s="44" t="s">
        <v>124</v>
      </c>
      <c r="S10" s="44" t="s">
        <v>123</v>
      </c>
      <c r="T10" s="44" t="s">
        <v>124</v>
      </c>
      <c r="U10" s="44" t="s">
        <v>124</v>
      </c>
      <c r="V10" s="44" t="s">
        <v>124</v>
      </c>
      <c r="W10" s="44" t="s">
        <v>123</v>
      </c>
      <c r="X10" s="44" t="s">
        <v>124</v>
      </c>
      <c r="Y10" s="44" t="s">
        <v>123</v>
      </c>
      <c r="Z10" s="44" t="s">
        <v>124</v>
      </c>
      <c r="AA10" s="44" t="s">
        <v>124</v>
      </c>
      <c r="AB10" s="44" t="s">
        <v>124</v>
      </c>
      <c r="AC10" s="44" t="s">
        <v>123</v>
      </c>
      <c r="AD10" s="44" t="s">
        <v>124</v>
      </c>
      <c r="AE10" s="44" t="s">
        <v>123</v>
      </c>
      <c r="AF10" s="44" t="s">
        <v>124</v>
      </c>
      <c r="AG10" s="44" t="s">
        <v>123</v>
      </c>
      <c r="AH10" s="44" t="s">
        <v>124</v>
      </c>
      <c r="AI10" s="44" t="s">
        <v>123</v>
      </c>
      <c r="AJ10" s="44" t="s">
        <v>124</v>
      </c>
      <c r="AK10" s="44" t="s">
        <v>123</v>
      </c>
      <c r="AL10" s="44" t="s">
        <v>124</v>
      </c>
      <c r="AM10" s="44" t="s">
        <v>123</v>
      </c>
      <c r="AN10" s="44" t="s">
        <v>124</v>
      </c>
      <c r="AO10" s="44" t="s">
        <v>124</v>
      </c>
      <c r="AP10" s="44" t="s">
        <v>124</v>
      </c>
      <c r="AQ10" s="44"/>
      <c r="AR10" s="44"/>
      <c r="AS10" s="44"/>
      <c r="AT10" s="44"/>
      <c r="AU10" s="44"/>
      <c r="AV10" s="154"/>
      <c r="AW10" s="5"/>
      <c r="AY10" s="178"/>
      <c r="AZ10" s="178"/>
      <c r="BA10" s="178"/>
      <c r="BB10" s="178"/>
    </row>
    <row r="11" spans="2:54" ht="17.25" customHeight="1">
      <c r="B11" s="106" t="s">
        <v>0</v>
      </c>
      <c r="C11" s="107" t="s">
        <v>58</v>
      </c>
      <c r="D11" s="120"/>
      <c r="E11" s="121">
        <f aca="true" t="shared" si="0" ref="E11:E23">BB11</f>
        <v>237.14839999999992</v>
      </c>
      <c r="F11" s="123"/>
      <c r="G11" s="35"/>
      <c r="H11" s="211"/>
      <c r="I11" s="207"/>
      <c r="J11" s="129">
        <v>4.22</v>
      </c>
      <c r="K11" s="201">
        <f>21.1*(LOOKUP(J11,Performance2013!$A$1:$A$123,Performance2013!$B$1:$B$123))</f>
        <v>25.91079999999999</v>
      </c>
      <c r="L11" s="207">
        <v>4.18</v>
      </c>
      <c r="M11" s="208">
        <f>21.1*(LOOKUP(L11,Performance2013!$A$1:$A$123,Performance2013!$B$1:$B$123))</f>
        <v>26.417199999999994</v>
      </c>
      <c r="N11" s="204">
        <v>6.5</v>
      </c>
      <c r="O11" s="123"/>
      <c r="P11" s="35"/>
      <c r="Q11" s="211"/>
      <c r="R11" s="207"/>
      <c r="S11" s="129">
        <v>4.53</v>
      </c>
      <c r="T11" s="201">
        <f>42.2*(LOOKUP(S11,Performance2013!$E$1:$E$123,Performance2013!$F$1:$F$123))+26.291</f>
        <v>77.85939999999998</v>
      </c>
      <c r="U11" s="208">
        <v>5.85</v>
      </c>
      <c r="V11" s="208"/>
      <c r="W11" s="129">
        <v>4.25</v>
      </c>
      <c r="X11" s="201">
        <f>21.1*(LOOKUP(W11,Performance2013!$A$1:$A$123,Performance2013!$B$1:$B$123))</f>
        <v>25.53099999999999</v>
      </c>
      <c r="Y11" s="211">
        <v>4.22</v>
      </c>
      <c r="Z11" s="208">
        <f>10*(LOOKUP(Y11,Performance2013!$A$1:$A$123,Performance2013!$B$1:$B$123))</f>
        <v>12.279999999999996</v>
      </c>
      <c r="AA11" s="221"/>
      <c r="AB11" s="221"/>
      <c r="AC11" s="208"/>
      <c r="AD11" s="208"/>
      <c r="AE11" s="129">
        <v>4.24</v>
      </c>
      <c r="AF11" s="201">
        <f>12.5*(LOOKUP(AE11,Performance2013!$A$1:$A$123,Performance2013!$B$1:$B$123))</f>
        <v>15.199999999999994</v>
      </c>
      <c r="AG11" s="211">
        <v>4.28</v>
      </c>
      <c r="AH11" s="208">
        <f>12*(LOOKUP(AG11,Performance2013!$A$1:$A$123,Performance2013!$B$1:$B$123))</f>
        <v>14.303999999999995</v>
      </c>
      <c r="AI11" s="129"/>
      <c r="AJ11" s="201"/>
      <c r="AK11" s="211"/>
      <c r="AL11" s="208"/>
      <c r="AM11" s="129">
        <v>4.44</v>
      </c>
      <c r="AN11" s="201">
        <f>13.5*(LOOKUP(AM11,Performance2013!$A$1:$A$123,Performance2013!$B$1:$B$123))</f>
        <v>14.795999999999992</v>
      </c>
      <c r="AO11" s="201"/>
      <c r="AP11" s="201">
        <v>4.5</v>
      </c>
      <c r="AQ11" s="201">
        <v>8</v>
      </c>
      <c r="AR11" s="201"/>
      <c r="AS11" s="201"/>
      <c r="AT11" s="201"/>
      <c r="AU11" s="35"/>
      <c r="AV11" s="137"/>
      <c r="AW11" s="119">
        <f>G11+I11+K11+M11+P11+R11+T11+AU11+N11+V11+U11+X11+Z11+AA11+AB11+AD11+AF11+AH11+AJ11+AL11+AN11+AO11+AP11+AQ11</f>
        <v>237.14839999999992</v>
      </c>
      <c r="AY11" s="169"/>
      <c r="AZ11" s="165"/>
      <c r="BA11" s="165"/>
      <c r="BB11" s="168">
        <f aca="true" t="shared" si="1" ref="BB11:BB54">AW11+AY11+AZ11+BA11</f>
        <v>237.14839999999992</v>
      </c>
    </row>
    <row r="12" spans="2:54" ht="17.25" customHeight="1">
      <c r="B12" s="106" t="s">
        <v>1</v>
      </c>
      <c r="C12" s="116" t="s">
        <v>129</v>
      </c>
      <c r="D12" s="115"/>
      <c r="E12" s="48">
        <f t="shared" si="0"/>
        <v>175.90259999999995</v>
      </c>
      <c r="F12" s="124"/>
      <c r="G12" s="49">
        <v>10</v>
      </c>
      <c r="H12" s="115"/>
      <c r="I12" s="115"/>
      <c r="J12" s="115"/>
      <c r="K12" s="115"/>
      <c r="L12" s="142" t="s">
        <v>133</v>
      </c>
      <c r="M12" s="49">
        <v>5</v>
      </c>
      <c r="N12" s="115"/>
      <c r="O12" s="124">
        <v>4.31</v>
      </c>
      <c r="P12" s="49">
        <f>10*LOOKUP(O12,Performance2013!$C$1:$C$123,Performance2013!$D$1:$D$123)</f>
        <v>13.539999999999996</v>
      </c>
      <c r="Q12" s="124">
        <v>4.58</v>
      </c>
      <c r="R12" s="49">
        <f>14*LOOKUP(Q12,Performance2013!$C$1:$C$123,Performance2013!$D$1:$D$123)</f>
        <v>16.68799999999999</v>
      </c>
      <c r="S12" s="124"/>
      <c r="T12" s="49"/>
      <c r="U12" s="49"/>
      <c r="V12" s="49">
        <v>7.5</v>
      </c>
      <c r="W12" s="124">
        <v>5.24</v>
      </c>
      <c r="X12" s="49">
        <f>21.1*LOOKUP(W12,Performance2013!$C$1:$C$123,Performance2013!$D$1:$D$123)+5.5</f>
        <v>27.35959999999999</v>
      </c>
      <c r="Y12" s="124">
        <v>4.47</v>
      </c>
      <c r="Z12" s="49">
        <f>10*LOOKUP(Y12,Performance2013!$C$1:$C$123,Performance2013!$D$1:$D$123)</f>
        <v>12.579999999999995</v>
      </c>
      <c r="AA12" s="49">
        <v>5.5</v>
      </c>
      <c r="AB12" s="49">
        <v>5</v>
      </c>
      <c r="AC12" s="124">
        <v>4.41</v>
      </c>
      <c r="AD12" s="49">
        <f>10*LOOKUP(AC12,Performance2013!$C$1:$C$123,Performance2013!$D$1:$D$123)</f>
        <v>12.939999999999996</v>
      </c>
      <c r="AE12" s="124">
        <v>4.45</v>
      </c>
      <c r="AF12" s="49">
        <f>12.5*LOOKUP(AE12,Performance2013!$C$1:$C$123,Performance2013!$D$1:$D$123)</f>
        <v>15.874999999999995</v>
      </c>
      <c r="AG12" s="124">
        <v>4.53</v>
      </c>
      <c r="AH12" s="49">
        <f>12*LOOKUP(AG12,Performance2013!$C$1:$C$123,Performance2013!$D$1:$D$123)</f>
        <v>14.663999999999994</v>
      </c>
      <c r="AI12" s="124"/>
      <c r="AJ12" s="49"/>
      <c r="AK12" s="124">
        <v>4.53</v>
      </c>
      <c r="AL12" s="49">
        <v>29.256</v>
      </c>
      <c r="AM12" s="124"/>
      <c r="AN12" s="49"/>
      <c r="AO12" s="49"/>
      <c r="AP12" s="49"/>
      <c r="AQ12" s="49"/>
      <c r="AR12" s="49"/>
      <c r="AS12" s="49"/>
      <c r="AT12" s="49"/>
      <c r="AU12" s="49"/>
      <c r="AV12" s="135"/>
      <c r="AW12" s="119">
        <f>G12+I12+K12+M12+P12+R12+T12+AU12+N12+V12+U12+X12+Z12+AA12+AB12+AD12+AF12+AH12+AJ12+AL12+AN12+AO12+AP12</f>
        <v>175.90259999999995</v>
      </c>
      <c r="AX12" s="176"/>
      <c r="AY12" s="173"/>
      <c r="AZ12" s="174"/>
      <c r="BA12" s="175"/>
      <c r="BB12" s="177">
        <f t="shared" si="1"/>
        <v>175.90259999999995</v>
      </c>
    </row>
    <row r="13" spans="2:54" ht="17.25" customHeight="1">
      <c r="B13" s="106" t="s">
        <v>2</v>
      </c>
      <c r="C13" s="46" t="s">
        <v>145</v>
      </c>
      <c r="D13" s="120"/>
      <c r="E13" s="121">
        <f t="shared" si="0"/>
        <v>168.32659999999996</v>
      </c>
      <c r="F13" s="123"/>
      <c r="G13" s="35">
        <v>10</v>
      </c>
      <c r="H13" s="211">
        <v>4.53</v>
      </c>
      <c r="I13" s="207">
        <v>10</v>
      </c>
      <c r="J13" s="129">
        <v>4.54</v>
      </c>
      <c r="K13" s="201">
        <f>21.1*(LOOKUP(J13,Performance2013!$A$1:$A$123,Performance2013!$B$1:$B$123)+0.108)</f>
        <v>24.13839999999999</v>
      </c>
      <c r="L13" s="210" t="s">
        <v>133</v>
      </c>
      <c r="M13" s="207">
        <v>5</v>
      </c>
      <c r="N13" s="203">
        <v>6.5</v>
      </c>
      <c r="O13" s="123">
        <v>4.4</v>
      </c>
      <c r="P13" s="201">
        <f>10*(LOOKUP(O13,Performance2013!$A$1:$A$123,Performance2013!$B$1:$B$123)+0.108)</f>
        <v>12.279999999999996</v>
      </c>
      <c r="Q13" s="210"/>
      <c r="R13" s="215">
        <v>14</v>
      </c>
      <c r="S13" s="129">
        <v>4.51</v>
      </c>
      <c r="T13" s="201">
        <f>21.1*(LOOKUP(S13,Performance2013!$A$1:$A$123,Performance2013!$B$1:$B$123)+0.108)</f>
        <v>24.51819999999999</v>
      </c>
      <c r="U13" s="208"/>
      <c r="V13" s="208">
        <v>7.5</v>
      </c>
      <c r="W13" s="201"/>
      <c r="X13" s="201">
        <v>5.5</v>
      </c>
      <c r="Y13" s="220">
        <v>5.03</v>
      </c>
      <c r="Z13" s="220">
        <v>11.08</v>
      </c>
      <c r="AA13" s="221"/>
      <c r="AB13" s="221"/>
      <c r="AC13" s="211">
        <v>4.58</v>
      </c>
      <c r="AD13" s="208">
        <f>10*(LOOKUP(AC13,Performance2013!$A$1:$A$123,Performance2013!$B$1:$B$123)+0.108)</f>
        <v>11.199999999999994</v>
      </c>
      <c r="AE13" s="129">
        <v>4.48</v>
      </c>
      <c r="AF13" s="201">
        <f>12.5*(LOOKUP(AE13,Performance2013!$A$1:$A$123,Performance2013!$B$1:$B$123)+0.108)</f>
        <v>14.749999999999993</v>
      </c>
      <c r="AG13" s="211"/>
      <c r="AH13" s="208"/>
      <c r="AI13" s="129">
        <v>4.47</v>
      </c>
      <c r="AJ13" s="201">
        <f>10*(LOOKUP(AI13,Performance2013!$A$1:$A$123,Performance2013!$B$1:$B$123)+0.108)</f>
        <v>11.859999999999996</v>
      </c>
      <c r="AK13" s="211"/>
      <c r="AL13" s="208"/>
      <c r="AM13" s="129"/>
      <c r="AN13" s="201"/>
      <c r="AO13" s="201"/>
      <c r="AP13" s="201"/>
      <c r="AQ13" s="201"/>
      <c r="AR13" s="201"/>
      <c r="AS13" s="201"/>
      <c r="AT13" s="201"/>
      <c r="AU13" s="132"/>
      <c r="AV13" s="138"/>
      <c r="AW13" s="119">
        <f aca="true" t="shared" si="2" ref="AW13:AW54">G13+I13+K13+M13+P13+R13+T13+AU13+N13+V13+U13+X13+Z13+AA13+AB13+AD13+AF13+AH13+AJ13+AL13+AN13+AO13+AP13</f>
        <v>168.32659999999996</v>
      </c>
      <c r="AY13" s="166"/>
      <c r="AZ13" s="163"/>
      <c r="BA13" s="163"/>
      <c r="BB13" s="168">
        <f t="shared" si="1"/>
        <v>168.32659999999996</v>
      </c>
    </row>
    <row r="14" spans="2:54" ht="17.25" customHeight="1">
      <c r="B14" s="106" t="s">
        <v>3</v>
      </c>
      <c r="C14" s="107" t="s">
        <v>59</v>
      </c>
      <c r="D14" s="120"/>
      <c r="E14" s="121">
        <f t="shared" si="0"/>
        <v>165.96259999999998</v>
      </c>
      <c r="F14" s="123"/>
      <c r="G14" s="35"/>
      <c r="H14" s="211"/>
      <c r="I14" s="207"/>
      <c r="J14" s="129">
        <v>4.22</v>
      </c>
      <c r="K14" s="201">
        <f>21.1*(LOOKUP(J14,Performance2013!$A$1:$A$123,Performance2013!$B$1:$B$123))</f>
        <v>25.91079999999999</v>
      </c>
      <c r="L14" s="210" t="s">
        <v>133</v>
      </c>
      <c r="M14" s="207">
        <v>5</v>
      </c>
      <c r="N14" s="203"/>
      <c r="O14" s="123">
        <v>4.13</v>
      </c>
      <c r="P14" s="201">
        <f>10*(LOOKUP(O14,Performance2013!$A$1:$A$123,Performance2013!$B$1:$B$123))</f>
        <v>12.819999999999997</v>
      </c>
      <c r="Q14" s="211"/>
      <c r="R14" s="215">
        <v>14</v>
      </c>
      <c r="S14" s="35"/>
      <c r="T14" s="35"/>
      <c r="U14" s="207"/>
      <c r="V14" s="207">
        <v>7.5</v>
      </c>
      <c r="W14" s="129">
        <v>4.41</v>
      </c>
      <c r="X14" s="200">
        <f>42.2*(LOOKUP(W14,Performance2013!$E$1:$E$123,Performance2013!$F$1:$F$123))+25.025+42.2*0.5</f>
        <v>100.73179999999999</v>
      </c>
      <c r="Y14" s="219"/>
      <c r="Z14" s="219"/>
      <c r="AA14" s="222"/>
      <c r="AB14" s="222"/>
      <c r="AC14" s="207"/>
      <c r="AD14" s="207"/>
      <c r="AE14" s="35"/>
      <c r="AF14" s="35"/>
      <c r="AG14" s="207"/>
      <c r="AH14" s="207"/>
      <c r="AI14" s="35"/>
      <c r="AJ14" s="35"/>
      <c r="AK14" s="207"/>
      <c r="AL14" s="207"/>
      <c r="AM14" s="35"/>
      <c r="AN14" s="35"/>
      <c r="AO14" s="35"/>
      <c r="AP14" s="35"/>
      <c r="AQ14" s="35"/>
      <c r="AR14" s="35"/>
      <c r="AS14" s="35"/>
      <c r="AT14" s="35"/>
      <c r="AU14" s="132"/>
      <c r="AV14" s="138"/>
      <c r="AW14" s="119">
        <f t="shared" si="2"/>
        <v>165.96259999999998</v>
      </c>
      <c r="AY14" s="166"/>
      <c r="AZ14" s="165"/>
      <c r="BA14" s="163"/>
      <c r="BB14" s="168">
        <f t="shared" si="1"/>
        <v>165.96259999999998</v>
      </c>
    </row>
    <row r="15" spans="2:54" ht="17.25" customHeight="1">
      <c r="B15" s="106" t="s">
        <v>4</v>
      </c>
      <c r="C15" s="46" t="s">
        <v>140</v>
      </c>
      <c r="D15" s="122"/>
      <c r="E15" s="121">
        <f t="shared" si="0"/>
        <v>163.40599999999995</v>
      </c>
      <c r="F15" s="125"/>
      <c r="G15" s="35"/>
      <c r="H15" s="209"/>
      <c r="I15" s="209"/>
      <c r="J15" s="38"/>
      <c r="L15" s="209">
        <v>5.02</v>
      </c>
      <c r="M15" s="207">
        <v>21.1</v>
      </c>
      <c r="N15" s="203"/>
      <c r="O15" s="123">
        <v>4.32</v>
      </c>
      <c r="P15" s="201">
        <f>10*(LOOKUP(O15,Performance2013!$A$1:$A$123,Performance2013!$B$1:$B$123))</f>
        <v>11.679999999999994</v>
      </c>
      <c r="Q15" s="210">
        <v>4.52</v>
      </c>
      <c r="R15" s="208">
        <f>14*(LOOKUP(Q15,Performance2013!$A$1:$A$123,Performance2013!$B$1:$B$123))</f>
        <v>14.671999999999992</v>
      </c>
      <c r="S15" s="123">
        <v>4.48</v>
      </c>
      <c r="T15" s="201">
        <f>21.1*(LOOKUP(S15,Performance2013!$A$1:$A$123,Performance2013!$B$1:$B$123))</f>
        <v>22.61919999999999</v>
      </c>
      <c r="U15" s="208">
        <v>5.85</v>
      </c>
      <c r="V15" s="208"/>
      <c r="W15" s="123">
        <v>4.57</v>
      </c>
      <c r="X15" s="201">
        <f>21.1*(LOOKUP(W15,Performance2013!$A$1:$A$123,Performance2013!$B$1:$B$123))</f>
        <v>21.479799999999987</v>
      </c>
      <c r="Y15" s="220"/>
      <c r="Z15" s="220"/>
      <c r="AA15" s="221">
        <v>5.5</v>
      </c>
      <c r="AB15" s="221"/>
      <c r="AC15" s="210">
        <v>4.47</v>
      </c>
      <c r="AD15" s="208">
        <f>10*(LOOKUP(AC15,Performance2013!$A$1:$A$123,Performance2013!$B$1:$B$123))</f>
        <v>10.779999999999994</v>
      </c>
      <c r="AE15" s="129">
        <v>4.39</v>
      </c>
      <c r="AF15" s="201">
        <f>12.5*(LOOKUP(AE15,Performance2013!$A$1:$A$123,Performance2013!$B$1:$B$123))</f>
        <v>14.074999999999992</v>
      </c>
      <c r="AG15" s="210"/>
      <c r="AH15" s="208"/>
      <c r="AI15" s="129"/>
      <c r="AJ15" s="201"/>
      <c r="AK15" s="210"/>
      <c r="AL15" s="208"/>
      <c r="AM15" s="129">
        <v>5.03</v>
      </c>
      <c r="AN15" s="201">
        <f>13+13.5</f>
        <v>26.5</v>
      </c>
      <c r="AO15" s="201">
        <v>4.65</v>
      </c>
      <c r="AP15" s="201">
        <v>4.5</v>
      </c>
      <c r="AQ15" s="201"/>
      <c r="AR15" s="201"/>
      <c r="AS15" s="201"/>
      <c r="AT15" s="201"/>
      <c r="AU15" s="35"/>
      <c r="AV15" s="144"/>
      <c r="AW15" s="119">
        <f t="shared" si="2"/>
        <v>163.40599999999995</v>
      </c>
      <c r="AY15" s="169"/>
      <c r="AZ15" s="165"/>
      <c r="BA15" s="165"/>
      <c r="BB15" s="168">
        <f t="shared" si="1"/>
        <v>163.40599999999995</v>
      </c>
    </row>
    <row r="16" spans="2:54" ht="17.25" customHeight="1">
      <c r="B16" s="106" t="s">
        <v>5</v>
      </c>
      <c r="C16" s="46" t="s">
        <v>62</v>
      </c>
      <c r="D16" s="120"/>
      <c r="E16" s="121">
        <f t="shared" si="0"/>
        <v>159.02999999999994</v>
      </c>
      <c r="F16" s="123"/>
      <c r="G16" s="35">
        <v>10</v>
      </c>
      <c r="H16" s="211">
        <v>4.35</v>
      </c>
      <c r="I16" s="207">
        <v>10</v>
      </c>
      <c r="J16" s="129">
        <v>4.37</v>
      </c>
      <c r="K16" s="201">
        <f>21.1*(LOOKUP(J16,Performance2013!$A$1:$A$123,Performance2013!$B$1:$B$123)+0.054)</f>
        <v>25.151199999999992</v>
      </c>
      <c r="L16" s="211">
        <v>4.4</v>
      </c>
      <c r="M16" s="208">
        <f>21.1*(LOOKUP(L16,Performance2013!$A$1:$A$123,Performance2013!$B$1:$B$123)+0.054)</f>
        <v>24.77139999999999</v>
      </c>
      <c r="N16" s="204">
        <v>6.5</v>
      </c>
      <c r="O16" s="123">
        <v>4.27</v>
      </c>
      <c r="P16" s="201">
        <f>10*(LOOKUP(O16,Performance2013!$A$1:$A$123,Performance2013!$B$1:$B$123)+0.054)</f>
        <v>12.519999999999996</v>
      </c>
      <c r="Q16" s="210"/>
      <c r="R16" s="215">
        <v>14</v>
      </c>
      <c r="S16" s="123"/>
      <c r="T16" s="35"/>
      <c r="U16" s="207">
        <v>5.85</v>
      </c>
      <c r="V16" s="207">
        <v>7.5</v>
      </c>
      <c r="W16" s="129">
        <v>4.5</v>
      </c>
      <c r="X16" s="201">
        <f>21.1*(LOOKUP(W16,Performance2013!$A$1:$A$123,Performance2013!$B$1:$B$123)+0.054)</f>
        <v>23.50539999999999</v>
      </c>
      <c r="Y16" s="219"/>
      <c r="Z16" s="219"/>
      <c r="AA16" s="222"/>
      <c r="AB16" s="222">
        <v>5</v>
      </c>
      <c r="AC16" s="207"/>
      <c r="AD16" s="207"/>
      <c r="AE16" s="35"/>
      <c r="AF16" s="35"/>
      <c r="AG16" s="209">
        <v>4.38</v>
      </c>
      <c r="AH16" s="208">
        <f>12*(LOOKUP(AG16,Performance2013!$A$1:$A$123,Performance2013!$B$1:$B$123)+0.054)</f>
        <v>14.231999999999994</v>
      </c>
      <c r="AI16" s="35"/>
      <c r="AJ16" s="35"/>
      <c r="AK16" s="209"/>
      <c r="AL16" s="208"/>
      <c r="AM16" s="35"/>
      <c r="AN16" s="35"/>
      <c r="AO16" s="35"/>
      <c r="AP16" s="35"/>
      <c r="AQ16" s="35"/>
      <c r="AR16" s="35"/>
      <c r="AS16" s="35"/>
      <c r="AT16" s="35"/>
      <c r="AU16" s="132"/>
      <c r="AV16" s="138"/>
      <c r="AW16" s="119">
        <f t="shared" si="2"/>
        <v>159.02999999999994</v>
      </c>
      <c r="AY16" s="166"/>
      <c r="AZ16" s="165"/>
      <c r="BA16" s="163"/>
      <c r="BB16" s="168">
        <f t="shared" si="1"/>
        <v>159.02999999999994</v>
      </c>
    </row>
    <row r="17" spans="2:54" ht="17.25" customHeight="1">
      <c r="B17" s="106" t="s">
        <v>6</v>
      </c>
      <c r="C17" s="46" t="s">
        <v>66</v>
      </c>
      <c r="D17" s="120"/>
      <c r="E17" s="121">
        <f t="shared" si="0"/>
        <v>136.65</v>
      </c>
      <c r="F17" s="123"/>
      <c r="G17" s="35">
        <v>10</v>
      </c>
      <c r="H17" s="211">
        <v>5.34</v>
      </c>
      <c r="I17" s="207">
        <v>10</v>
      </c>
      <c r="J17" s="129">
        <v>5.46</v>
      </c>
      <c r="K17" s="35">
        <v>21.1</v>
      </c>
      <c r="L17" s="211">
        <v>5.54</v>
      </c>
      <c r="M17" s="207">
        <v>21.1</v>
      </c>
      <c r="N17" s="203"/>
      <c r="O17" s="123"/>
      <c r="P17" s="35"/>
      <c r="Q17" s="211"/>
      <c r="R17" s="215">
        <v>14</v>
      </c>
      <c r="S17" s="35"/>
      <c r="T17" s="35"/>
      <c r="U17" s="207">
        <v>5.85</v>
      </c>
      <c r="V17" s="207">
        <v>7.5</v>
      </c>
      <c r="W17" s="35">
        <v>5.56</v>
      </c>
      <c r="X17" s="35">
        <v>21.1</v>
      </c>
      <c r="Y17" s="219"/>
      <c r="Z17" s="219"/>
      <c r="AA17" s="222"/>
      <c r="AB17" s="222"/>
      <c r="AC17" s="207"/>
      <c r="AD17" s="207"/>
      <c r="AE17" s="35"/>
      <c r="AF17" s="35"/>
      <c r="AG17" s="211">
        <v>5.48</v>
      </c>
      <c r="AH17" s="207">
        <v>12</v>
      </c>
      <c r="AI17" s="129">
        <v>5.29</v>
      </c>
      <c r="AJ17" s="35">
        <v>10</v>
      </c>
      <c r="AK17" s="211"/>
      <c r="AL17" s="207"/>
      <c r="AM17" s="129"/>
      <c r="AN17" s="35"/>
      <c r="AO17" s="35"/>
      <c r="AP17" s="35">
        <v>4</v>
      </c>
      <c r="AQ17" s="35"/>
      <c r="AR17" s="35"/>
      <c r="AS17" s="35"/>
      <c r="AT17" s="35"/>
      <c r="AU17" s="132"/>
      <c r="AV17" s="138"/>
      <c r="AW17" s="119">
        <f t="shared" si="2"/>
        <v>136.65</v>
      </c>
      <c r="AY17" s="164"/>
      <c r="AZ17" s="163"/>
      <c r="BA17" s="163"/>
      <c r="BB17" s="168">
        <f t="shared" si="1"/>
        <v>136.65</v>
      </c>
    </row>
    <row r="18" spans="2:54" ht="17.25" customHeight="1">
      <c r="B18" s="106" t="s">
        <v>7</v>
      </c>
      <c r="C18" s="107" t="s">
        <v>79</v>
      </c>
      <c r="D18" s="122"/>
      <c r="E18" s="121">
        <f t="shared" si="0"/>
        <v>133.917</v>
      </c>
      <c r="F18" s="123"/>
      <c r="G18" s="35">
        <v>10</v>
      </c>
      <c r="H18" s="209">
        <v>5.02</v>
      </c>
      <c r="I18" s="207">
        <v>10</v>
      </c>
      <c r="J18" s="129"/>
      <c r="K18" s="35"/>
      <c r="L18" s="210" t="s">
        <v>133</v>
      </c>
      <c r="M18" s="207">
        <v>5</v>
      </c>
      <c r="N18" s="203"/>
      <c r="O18" s="123">
        <v>5.11</v>
      </c>
      <c r="P18" s="201">
        <v>10.48</v>
      </c>
      <c r="Q18" s="210">
        <v>5.34</v>
      </c>
      <c r="R18" s="207">
        <v>14</v>
      </c>
      <c r="S18" s="38"/>
      <c r="T18" s="35">
        <v>5</v>
      </c>
      <c r="U18" s="207"/>
      <c r="V18" s="207">
        <v>7.5</v>
      </c>
      <c r="W18" s="35"/>
      <c r="X18" s="35"/>
      <c r="Y18" s="219"/>
      <c r="Z18" s="219"/>
      <c r="AA18" s="222"/>
      <c r="AB18" s="222">
        <v>5</v>
      </c>
      <c r="AC18" s="211">
        <v>5.1</v>
      </c>
      <c r="AD18" s="207">
        <v>10.42</v>
      </c>
      <c r="AE18" s="129">
        <v>5.01</v>
      </c>
      <c r="AF18" s="35">
        <v>13.85</v>
      </c>
      <c r="AG18" s="211">
        <v>5.17</v>
      </c>
      <c r="AH18" s="207">
        <v>12.936</v>
      </c>
      <c r="AI18" s="129">
        <v>4.53</v>
      </c>
      <c r="AJ18" s="35">
        <v>11.5</v>
      </c>
      <c r="AK18" s="211"/>
      <c r="AL18" s="207"/>
      <c r="AM18" s="129">
        <v>5.17</v>
      </c>
      <c r="AN18" s="35">
        <f>1.006*13.5</f>
        <v>13.581</v>
      </c>
      <c r="AO18" s="35">
        <v>4.65</v>
      </c>
      <c r="AP18" s="35"/>
      <c r="AQ18" s="35"/>
      <c r="AR18" s="35"/>
      <c r="AS18" s="35"/>
      <c r="AT18" s="35"/>
      <c r="AU18" s="35"/>
      <c r="AV18" s="140"/>
      <c r="AW18" s="119">
        <f t="shared" si="2"/>
        <v>133.917</v>
      </c>
      <c r="AY18" s="169"/>
      <c r="AZ18" s="163"/>
      <c r="BA18" s="165"/>
      <c r="BB18" s="168">
        <f t="shared" si="1"/>
        <v>133.917</v>
      </c>
    </row>
    <row r="19" spans="2:54" ht="17.25" customHeight="1">
      <c r="B19" s="106" t="s">
        <v>8</v>
      </c>
      <c r="C19" s="116" t="s">
        <v>57</v>
      </c>
      <c r="D19" s="47"/>
      <c r="E19" s="48">
        <f t="shared" si="0"/>
        <v>131.676</v>
      </c>
      <c r="F19" s="124"/>
      <c r="G19" s="135">
        <v>10</v>
      </c>
      <c r="H19" s="135">
        <v>5.19</v>
      </c>
      <c r="I19" s="135">
        <v>10</v>
      </c>
      <c r="J19" s="133"/>
      <c r="K19" s="133"/>
      <c r="L19" s="133"/>
      <c r="M19" s="133"/>
      <c r="N19" s="115"/>
      <c r="O19" s="124">
        <v>4.54</v>
      </c>
      <c r="P19" s="49">
        <f>10*LOOKUP(O19,Performance2013!$C$1:$C$123,Performance2013!$D$1:$D$123)</f>
        <v>12.159999999999995</v>
      </c>
      <c r="Q19" s="133"/>
      <c r="R19" s="216">
        <v>14</v>
      </c>
      <c r="S19" s="133"/>
      <c r="T19" s="133"/>
      <c r="U19" s="135">
        <v>5.85</v>
      </c>
      <c r="V19" s="135">
        <v>7.5</v>
      </c>
      <c r="W19" s="124">
        <v>5.33</v>
      </c>
      <c r="X19" s="49">
        <f>21.1*LOOKUP(W19,Performance2013!$C$1:$C$123,Performance2013!$D$1:$D$123)</f>
        <v>21.099999999999987</v>
      </c>
      <c r="Y19" s="124">
        <v>5.09</v>
      </c>
      <c r="Z19" s="49">
        <f>10*LOOKUP(Y19,Performance2013!$C$1:$C$123,Performance2013!$D$1:$D$123)</f>
        <v>11.259999999999994</v>
      </c>
      <c r="AA19" s="135">
        <v>5.5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24">
        <v>5.13</v>
      </c>
      <c r="AL19" s="49">
        <v>25.656</v>
      </c>
      <c r="AM19" s="133"/>
      <c r="AN19" s="133"/>
      <c r="AO19" s="135">
        <v>4.65</v>
      </c>
      <c r="AP19" s="135">
        <v>4</v>
      </c>
      <c r="AQ19" s="135"/>
      <c r="AR19" s="135"/>
      <c r="AS19" s="135"/>
      <c r="AT19" s="133"/>
      <c r="AU19" s="133"/>
      <c r="AV19" s="135"/>
      <c r="AW19" s="119">
        <f t="shared" si="2"/>
        <v>131.676</v>
      </c>
      <c r="AX19" s="176"/>
      <c r="AY19" s="173"/>
      <c r="AZ19" s="174"/>
      <c r="BA19" s="175"/>
      <c r="BB19" s="177">
        <f t="shared" si="1"/>
        <v>131.676</v>
      </c>
    </row>
    <row r="20" spans="2:54" ht="17.25" customHeight="1">
      <c r="B20" s="106" t="s">
        <v>9</v>
      </c>
      <c r="C20" s="46" t="s">
        <v>85</v>
      </c>
      <c r="D20" s="120"/>
      <c r="E20" s="121">
        <f t="shared" si="0"/>
        <v>118.34</v>
      </c>
      <c r="F20" s="123"/>
      <c r="G20" s="35"/>
      <c r="H20" s="211"/>
      <c r="I20" s="207"/>
      <c r="J20" s="35"/>
      <c r="K20" s="35"/>
      <c r="L20" s="211">
        <v>5.46</v>
      </c>
      <c r="M20" s="207">
        <v>21.1</v>
      </c>
      <c r="N20" s="203"/>
      <c r="O20" s="123"/>
      <c r="P20" s="35"/>
      <c r="Q20" s="212"/>
      <c r="R20" s="207"/>
      <c r="S20" s="35">
        <v>5.23</v>
      </c>
      <c r="T20" s="35">
        <v>21.1</v>
      </c>
      <c r="U20" s="207"/>
      <c r="V20" s="207"/>
      <c r="W20" s="35"/>
      <c r="X20" s="35"/>
      <c r="Y20" s="207"/>
      <c r="Z20" s="207"/>
      <c r="AA20" s="222"/>
      <c r="AB20" s="222"/>
      <c r="AC20" s="211">
        <v>5.29</v>
      </c>
      <c r="AD20" s="207">
        <v>10</v>
      </c>
      <c r="AE20" s="129"/>
      <c r="AF20" s="35"/>
      <c r="AG20" s="211"/>
      <c r="AH20" s="207"/>
      <c r="AI20" s="129">
        <v>5.27</v>
      </c>
      <c r="AJ20" s="35">
        <v>10</v>
      </c>
      <c r="AK20" s="211">
        <v>5.15</v>
      </c>
      <c r="AL20" s="207">
        <v>20.24</v>
      </c>
      <c r="AM20" s="129"/>
      <c r="AN20" s="131">
        <f>10+(10+8.5+10+14)/2</f>
        <v>31.25</v>
      </c>
      <c r="AO20" s="35">
        <f>9.3/2</f>
        <v>4.65</v>
      </c>
      <c r="AP20" s="35"/>
      <c r="AQ20" s="35"/>
      <c r="AR20" s="35"/>
      <c r="AS20" s="35"/>
      <c r="AT20" s="35"/>
      <c r="AU20" s="35"/>
      <c r="AV20" s="138"/>
      <c r="AW20" s="119">
        <f t="shared" si="2"/>
        <v>118.34</v>
      </c>
      <c r="AY20" s="166"/>
      <c r="AZ20" s="163"/>
      <c r="BA20" s="163"/>
      <c r="BB20" s="168">
        <f t="shared" si="1"/>
        <v>118.34</v>
      </c>
    </row>
    <row r="21" spans="2:54" ht="17.25" customHeight="1">
      <c r="B21" s="106" t="s">
        <v>10</v>
      </c>
      <c r="C21" s="107" t="s">
        <v>54</v>
      </c>
      <c r="D21" s="120"/>
      <c r="E21" s="121">
        <f t="shared" si="0"/>
        <v>111.76139999999998</v>
      </c>
      <c r="F21" s="123"/>
      <c r="G21" s="35"/>
      <c r="H21" s="211"/>
      <c r="I21" s="207"/>
      <c r="J21" s="129">
        <v>4.21</v>
      </c>
      <c r="K21" s="201">
        <f>21.1*(LOOKUP(J21,Performance2013!$A$1:$A$123,Performance2013!$B$1:$B$123))</f>
        <v>26.03739999999999</v>
      </c>
      <c r="L21" s="211">
        <v>4.2</v>
      </c>
      <c r="M21" s="208">
        <f>21.1*(LOOKUP(L21,Performance2013!$A$1:$A$123,Performance2013!$B$1:$B$123))</f>
        <v>26.16399999999999</v>
      </c>
      <c r="N21" s="204">
        <v>6.5</v>
      </c>
      <c r="O21" s="123">
        <v>4.09</v>
      </c>
      <c r="P21" s="200">
        <f>10*(LOOKUP(O21,Performance2013!$A$1:$A$123,Performance2013!$B$1:$B$123))+10*0.5</f>
        <v>18.059999999999995</v>
      </c>
      <c r="Q21" s="210"/>
      <c r="R21" s="215">
        <v>14</v>
      </c>
      <c r="S21" s="35"/>
      <c r="T21" s="35"/>
      <c r="U21" s="207">
        <v>5.85</v>
      </c>
      <c r="V21" s="207"/>
      <c r="W21" s="35"/>
      <c r="X21" s="35"/>
      <c r="Y21" s="219"/>
      <c r="Z21" s="219"/>
      <c r="AA21" s="222">
        <v>5.5</v>
      </c>
      <c r="AB21" s="222">
        <v>5</v>
      </c>
      <c r="AC21" s="207"/>
      <c r="AD21" s="207"/>
      <c r="AE21" s="35"/>
      <c r="AF21" s="35"/>
      <c r="AG21" s="207"/>
      <c r="AH21" s="207"/>
      <c r="AI21" s="35"/>
      <c r="AJ21" s="35"/>
      <c r="AK21" s="207"/>
      <c r="AL21" s="207"/>
      <c r="AM21" s="35"/>
      <c r="AN21" s="35"/>
      <c r="AO21" s="35">
        <v>4.65</v>
      </c>
      <c r="AP21" s="35"/>
      <c r="AQ21" s="35"/>
      <c r="AR21" s="35"/>
      <c r="AS21" s="35"/>
      <c r="AT21" s="35"/>
      <c r="AU21" s="132"/>
      <c r="AV21" s="138"/>
      <c r="AW21" s="119">
        <f t="shared" si="2"/>
        <v>111.76139999999998</v>
      </c>
      <c r="AY21" s="170"/>
      <c r="AZ21" s="165"/>
      <c r="BA21" s="165"/>
      <c r="BB21" s="168">
        <f t="shared" si="1"/>
        <v>111.76139999999998</v>
      </c>
    </row>
    <row r="22" spans="2:54" ht="17.25" customHeight="1">
      <c r="B22" s="106" t="s">
        <v>11</v>
      </c>
      <c r="C22" s="46" t="s">
        <v>128</v>
      </c>
      <c r="D22" s="120"/>
      <c r="E22" s="121">
        <f t="shared" si="0"/>
        <v>105.86499999999998</v>
      </c>
      <c r="F22" s="123"/>
      <c r="G22" s="35"/>
      <c r="H22" s="211"/>
      <c r="I22" s="207"/>
      <c r="J22" s="35"/>
      <c r="K22" s="35"/>
      <c r="L22" s="210" t="s">
        <v>133</v>
      </c>
      <c r="M22" s="207">
        <v>5</v>
      </c>
      <c r="N22" s="203"/>
      <c r="O22" s="123">
        <v>4.58</v>
      </c>
      <c r="P22" s="201">
        <f>10*(LOOKUP(O22,Performance2013!$A$1:$A$123,Performance2013!$B$1:$B$123))</f>
        <v>10.119999999999994</v>
      </c>
      <c r="Q22" s="210">
        <v>5.05</v>
      </c>
      <c r="R22" s="207">
        <v>14</v>
      </c>
      <c r="S22" s="123">
        <v>4.45</v>
      </c>
      <c r="T22" s="201">
        <f>21.1*(LOOKUP(S22,Performance2013!$A$1:$A$123,Performance2013!$B$1:$B$123))</f>
        <v>22.998999999999988</v>
      </c>
      <c r="U22" s="208"/>
      <c r="V22" s="208"/>
      <c r="W22" s="201"/>
      <c r="X22" s="201"/>
      <c r="Y22" s="208"/>
      <c r="Z22" s="208">
        <v>14</v>
      </c>
      <c r="AA22" s="221"/>
      <c r="AB22" s="221">
        <v>5</v>
      </c>
      <c r="AC22" s="208"/>
      <c r="AD22" s="208"/>
      <c r="AE22" s="201"/>
      <c r="AF22" s="201"/>
      <c r="AG22" s="211">
        <v>4.47</v>
      </c>
      <c r="AH22" s="208">
        <f>12*(LOOKUP(AG22,Performance2013!$A$1:$A$123,Performance2013!$B$1:$B$123))</f>
        <v>12.935999999999993</v>
      </c>
      <c r="AI22" s="129">
        <v>4.24</v>
      </c>
      <c r="AJ22" s="200">
        <f>10*(LOOKUP(AI22,Performance2013!$A$1:$A$123,Performance2013!$B$1:$B$123))+10*0.5</f>
        <v>17.159999999999997</v>
      </c>
      <c r="AK22" s="211"/>
      <c r="AL22" s="208"/>
      <c r="AM22" s="129"/>
      <c r="AN22" s="201"/>
      <c r="AO22" s="201">
        <v>4.65</v>
      </c>
      <c r="AP22" s="201"/>
      <c r="AQ22" s="201"/>
      <c r="AR22" s="201"/>
      <c r="AS22" s="201"/>
      <c r="AT22" s="201"/>
      <c r="AU22" s="35"/>
      <c r="AV22" s="138"/>
      <c r="AW22" s="119">
        <f t="shared" si="2"/>
        <v>105.86499999999998</v>
      </c>
      <c r="AY22" s="166"/>
      <c r="AZ22" s="165"/>
      <c r="BA22" s="163"/>
      <c r="BB22" s="168">
        <f t="shared" si="1"/>
        <v>105.86499999999998</v>
      </c>
    </row>
    <row r="23" spans="2:54" ht="17.25" customHeight="1">
      <c r="B23" s="106" t="s">
        <v>12</v>
      </c>
      <c r="C23" s="46" t="s">
        <v>63</v>
      </c>
      <c r="D23" s="120"/>
      <c r="E23" s="121">
        <f t="shared" si="0"/>
        <v>109.464</v>
      </c>
      <c r="F23" s="123">
        <v>4.15</v>
      </c>
      <c r="G23" s="35">
        <v>10</v>
      </c>
      <c r="H23" s="211">
        <v>4.3</v>
      </c>
      <c r="I23" s="207">
        <v>10</v>
      </c>
      <c r="J23" s="129"/>
      <c r="K23" s="35"/>
      <c r="L23" s="210" t="s">
        <v>133</v>
      </c>
      <c r="M23" s="207">
        <v>5</v>
      </c>
      <c r="N23" s="203"/>
      <c r="O23" s="123">
        <v>4.05</v>
      </c>
      <c r="P23" s="200">
        <f>10*(LOOKUP(O23,Performance2013!$A$1:$A$123,Performance2013!$B$1:$B$123))+10*0.5</f>
        <v>18.299999999999997</v>
      </c>
      <c r="Q23" s="212"/>
      <c r="R23" s="215">
        <v>14</v>
      </c>
      <c r="S23" s="123"/>
      <c r="T23" s="131"/>
      <c r="U23" s="219">
        <v>5.85</v>
      </c>
      <c r="V23" s="219">
        <v>7.5</v>
      </c>
      <c r="W23" s="131"/>
      <c r="X23" s="131">
        <f>5+5.5</f>
        <v>10.5</v>
      </c>
      <c r="Y23" s="219"/>
      <c r="Z23" s="219"/>
      <c r="AA23" s="223"/>
      <c r="AB23" s="223">
        <v>5</v>
      </c>
      <c r="AC23" s="219"/>
      <c r="AD23" s="219"/>
      <c r="AE23" s="131"/>
      <c r="AF23" s="131"/>
      <c r="AG23" s="211">
        <v>4.23</v>
      </c>
      <c r="AH23" s="208">
        <f>12*(LOOKUP(AG23,Performance2013!$A$1:$A$123,Performance2013!$B$1:$B$123))</f>
        <v>14.663999999999994</v>
      </c>
      <c r="AI23" s="131"/>
      <c r="AJ23" s="131"/>
      <c r="AK23" s="211"/>
      <c r="AL23" s="208"/>
      <c r="AM23" s="131"/>
      <c r="AN23" s="131"/>
      <c r="AO23" s="131">
        <v>4.65</v>
      </c>
      <c r="AP23" s="131">
        <v>4</v>
      </c>
      <c r="AQ23" s="131"/>
      <c r="AR23" s="131"/>
      <c r="AS23" s="131"/>
      <c r="AT23" s="131"/>
      <c r="AU23" s="132"/>
      <c r="AV23" s="138"/>
      <c r="AW23" s="119">
        <f t="shared" si="2"/>
        <v>109.464</v>
      </c>
      <c r="AY23" s="166"/>
      <c r="AZ23" s="163"/>
      <c r="BA23" s="163"/>
      <c r="BB23" s="168">
        <f t="shared" si="1"/>
        <v>109.464</v>
      </c>
    </row>
    <row r="24" spans="2:54" ht="17.25" customHeight="1">
      <c r="B24" s="106" t="s">
        <v>13</v>
      </c>
      <c r="C24" s="107" t="s">
        <v>191</v>
      </c>
      <c r="D24" s="120"/>
      <c r="E24" s="121">
        <f>AW24</f>
        <v>104.40279999999997</v>
      </c>
      <c r="F24" s="179"/>
      <c r="G24" s="35"/>
      <c r="H24" s="209"/>
      <c r="I24" s="209"/>
      <c r="J24" s="129"/>
      <c r="K24" s="201"/>
      <c r="L24" s="214"/>
      <c r="M24" s="207"/>
      <c r="N24" s="203"/>
      <c r="O24" s="123"/>
      <c r="P24" s="38"/>
      <c r="Q24" s="209">
        <v>4.45</v>
      </c>
      <c r="R24" s="208">
        <f>42.2*(LOOKUP(Q24,Performance2013!$E$1:$E$123,Performance2013!$F$1:$F$123)+0.054)</f>
        <v>55.87279999999999</v>
      </c>
      <c r="S24" s="38">
        <v>5.14</v>
      </c>
      <c r="T24" s="201">
        <f>42.2*(LOOKUP(S24,Performance2013!$E$1:$E$123,Performance2013!$F$1:$F$123)+0.054)</f>
        <v>48.52999999999998</v>
      </c>
      <c r="U24" s="207"/>
      <c r="V24" s="207"/>
      <c r="W24" s="35"/>
      <c r="X24" s="35"/>
      <c r="Y24" s="219"/>
      <c r="Z24" s="219"/>
      <c r="AA24" s="222"/>
      <c r="AB24" s="222"/>
      <c r="AC24" s="207"/>
      <c r="AD24" s="207"/>
      <c r="AE24" s="35"/>
      <c r="AF24" s="35"/>
      <c r="AG24" s="207"/>
      <c r="AH24" s="207"/>
      <c r="AI24" s="35"/>
      <c r="AJ24" s="35"/>
      <c r="AK24" s="207"/>
      <c r="AL24" s="207"/>
      <c r="AM24" s="35"/>
      <c r="AN24" s="35"/>
      <c r="AO24" s="35"/>
      <c r="AP24" s="35"/>
      <c r="AQ24" s="35"/>
      <c r="AR24" s="35"/>
      <c r="AS24" s="35"/>
      <c r="AT24" s="35"/>
      <c r="AU24" s="35"/>
      <c r="AV24" s="138"/>
      <c r="AW24" s="119">
        <f t="shared" si="2"/>
        <v>104.40279999999997</v>
      </c>
      <c r="BB24" s="168">
        <f t="shared" si="1"/>
        <v>104.40279999999997</v>
      </c>
    </row>
    <row r="25" spans="2:54" ht="17.25" customHeight="1">
      <c r="B25" s="106" t="s">
        <v>14</v>
      </c>
      <c r="C25" s="107" t="s">
        <v>151</v>
      </c>
      <c r="D25" s="122"/>
      <c r="E25" s="121">
        <f>BB25</f>
        <v>104.17199999999998</v>
      </c>
      <c r="F25" s="123"/>
      <c r="G25" s="35"/>
      <c r="H25" s="209"/>
      <c r="I25" s="207"/>
      <c r="J25" s="35"/>
      <c r="K25" s="35"/>
      <c r="L25" s="210"/>
      <c r="M25" s="207"/>
      <c r="N25" s="203"/>
      <c r="O25" s="123"/>
      <c r="P25" s="35"/>
      <c r="Q25" s="210"/>
      <c r="R25" s="207"/>
      <c r="S25" s="123"/>
      <c r="T25" s="35">
        <v>5</v>
      </c>
      <c r="U25" s="207">
        <v>5.85</v>
      </c>
      <c r="V25" s="207"/>
      <c r="W25" s="35"/>
      <c r="X25" s="35"/>
      <c r="Y25" s="211">
        <v>4.56</v>
      </c>
      <c r="Z25" s="208">
        <f>10*(LOOKUP(Y25,Performance2013!$A$1:$A$123,Performance2013!$B$1:$B$123)+0.054)</f>
        <v>10.779999999999994</v>
      </c>
      <c r="AA25" s="222">
        <v>5.5</v>
      </c>
      <c r="AB25" s="222">
        <v>5</v>
      </c>
      <c r="AC25" s="211">
        <v>4.55</v>
      </c>
      <c r="AD25" s="208">
        <f>10*(LOOKUP(AC25,Performance2013!$A$1:$A$123,Performance2013!$B$1:$B$123)+0.054)</f>
        <v>10.839999999999995</v>
      </c>
      <c r="AE25" s="129"/>
      <c r="AF25" s="201"/>
      <c r="AG25" s="211">
        <v>4.54</v>
      </c>
      <c r="AH25" s="208">
        <f>12*(LOOKUP(AG25,Performance2013!$A$1:$A$123,Performance2013!$B$1:$B$123))</f>
        <v>12.431999999999992</v>
      </c>
      <c r="AI25" s="129">
        <v>4.35</v>
      </c>
      <c r="AJ25" s="201">
        <f>10*(LOOKUP(AI25,Performance2013!$A$1:$A$123,Performance2013!$B$1:$B$123))</f>
        <v>11.499999999999995</v>
      </c>
      <c r="AK25" s="211"/>
      <c r="AL25" s="208"/>
      <c r="AM25" s="129">
        <v>4.4</v>
      </c>
      <c r="AN25" s="201">
        <f>13.5*(LOOKUP(AM25,Performance2013!$A$1:$A$123,Performance2013!$B$1:$B$123))+13</f>
        <v>28.11999999999999</v>
      </c>
      <c r="AO25" s="35">
        <v>4.65</v>
      </c>
      <c r="AP25" s="35">
        <v>4.5</v>
      </c>
      <c r="AQ25" s="35"/>
      <c r="AR25" s="35"/>
      <c r="AS25" s="35"/>
      <c r="AT25" s="35"/>
      <c r="AU25" s="35"/>
      <c r="AV25" s="143"/>
      <c r="AW25" s="119">
        <f t="shared" si="2"/>
        <v>104.17199999999998</v>
      </c>
      <c r="AY25" s="169"/>
      <c r="AZ25" s="163"/>
      <c r="BA25" s="165"/>
      <c r="BB25" s="168">
        <f t="shared" si="1"/>
        <v>104.17199999999998</v>
      </c>
    </row>
    <row r="26" spans="2:54" ht="17.25" customHeight="1">
      <c r="B26" s="106" t="s">
        <v>15</v>
      </c>
      <c r="C26" s="107" t="s">
        <v>55</v>
      </c>
      <c r="D26" s="120"/>
      <c r="E26" s="121">
        <f>AW26</f>
        <v>99.6968</v>
      </c>
      <c r="F26" s="179"/>
      <c r="G26" s="35"/>
      <c r="H26" s="209"/>
      <c r="I26" s="209"/>
      <c r="J26" s="38">
        <v>3.59</v>
      </c>
      <c r="K26" s="201">
        <f>21.1*(LOOKUP(J26,Performance2013!$A$1:$A$123,Performance2013!$B$1:$B$123)+0.054)</f>
        <v>29.961999999999996</v>
      </c>
      <c r="L26" s="214" t="s">
        <v>133</v>
      </c>
      <c r="M26" s="207">
        <v>5</v>
      </c>
      <c r="N26" s="203"/>
      <c r="O26" s="123"/>
      <c r="P26" s="38"/>
      <c r="Q26" s="209"/>
      <c r="R26" s="209"/>
      <c r="S26" s="35"/>
      <c r="T26" s="35"/>
      <c r="U26" s="207"/>
      <c r="V26" s="207"/>
      <c r="W26" s="129">
        <v>4.1</v>
      </c>
      <c r="X26" s="201">
        <f>42.2*(LOOKUP(W26,Performance2013!$E$1:$E$123,Performance2013!$F$1:$F$123)+0.054)</f>
        <v>64.73479999999999</v>
      </c>
      <c r="Y26" s="207"/>
      <c r="Z26" s="207"/>
      <c r="AA26" s="222"/>
      <c r="AB26" s="222"/>
      <c r="AC26" s="207"/>
      <c r="AD26" s="207"/>
      <c r="AE26" s="35"/>
      <c r="AF26" s="35"/>
      <c r="AG26" s="207"/>
      <c r="AH26" s="207"/>
      <c r="AI26" s="35"/>
      <c r="AJ26" s="35"/>
      <c r="AK26" s="207"/>
      <c r="AL26" s="207"/>
      <c r="AM26" s="35"/>
      <c r="AN26" s="35"/>
      <c r="AO26" s="35"/>
      <c r="AP26" s="35"/>
      <c r="AQ26" s="35"/>
      <c r="AR26" s="35"/>
      <c r="AS26" s="35"/>
      <c r="AT26" s="35"/>
      <c r="AU26" s="35"/>
      <c r="AV26" s="138"/>
      <c r="AW26" s="119">
        <f t="shared" si="2"/>
        <v>99.6968</v>
      </c>
      <c r="BB26" s="168">
        <f t="shared" si="1"/>
        <v>99.6968</v>
      </c>
    </row>
    <row r="27" spans="2:55" ht="17.25" customHeight="1">
      <c r="B27" s="106" t="s">
        <v>16</v>
      </c>
      <c r="C27" s="107" t="s">
        <v>158</v>
      </c>
      <c r="D27" s="122"/>
      <c r="E27" s="121">
        <f>AW27</f>
        <v>76.85</v>
      </c>
      <c r="H27" s="209"/>
      <c r="I27" s="209"/>
      <c r="J27" s="38"/>
      <c r="L27" s="209"/>
      <c r="M27" s="213"/>
      <c r="N27" s="206"/>
      <c r="O27" s="199">
        <v>6.05</v>
      </c>
      <c r="P27" s="128">
        <v>5</v>
      </c>
      <c r="Q27" s="210">
        <v>6.07</v>
      </c>
      <c r="R27" s="207">
        <v>7</v>
      </c>
      <c r="S27" s="38"/>
      <c r="T27" s="35">
        <v>5</v>
      </c>
      <c r="U27" s="207">
        <v>5.85</v>
      </c>
      <c r="V27" s="207"/>
      <c r="W27" s="35"/>
      <c r="X27" s="35"/>
      <c r="Y27" s="207"/>
      <c r="Z27" s="207">
        <v>14</v>
      </c>
      <c r="AA27" s="222">
        <v>5.5</v>
      </c>
      <c r="AB27" s="222"/>
      <c r="AC27" s="211">
        <v>5.51</v>
      </c>
      <c r="AD27" s="207">
        <v>10</v>
      </c>
      <c r="AE27" s="129">
        <v>5.36</v>
      </c>
      <c r="AF27" s="35">
        <v>12.5</v>
      </c>
      <c r="AG27" s="211">
        <v>5.48</v>
      </c>
      <c r="AH27" s="207">
        <v>12</v>
      </c>
      <c r="AI27" s="129"/>
      <c r="AJ27" s="35"/>
      <c r="AK27" s="211"/>
      <c r="AL27" s="207"/>
      <c r="AM27" s="129"/>
      <c r="AN27" s="35"/>
      <c r="AO27" s="35"/>
      <c r="AP27" s="35"/>
      <c r="AQ27" s="35"/>
      <c r="AR27" s="35"/>
      <c r="AS27" s="35"/>
      <c r="AT27" s="35"/>
      <c r="AU27" s="38"/>
      <c r="AV27" s="139"/>
      <c r="AW27" s="119">
        <f t="shared" si="2"/>
        <v>76.85</v>
      </c>
      <c r="BB27" s="168">
        <f t="shared" si="1"/>
        <v>76.85</v>
      </c>
      <c r="BC27" s="5"/>
    </row>
    <row r="28" spans="2:55" ht="17.25" customHeight="1">
      <c r="B28" s="106" t="s">
        <v>17</v>
      </c>
      <c r="C28" s="116" t="s">
        <v>149</v>
      </c>
      <c r="D28" s="115"/>
      <c r="E28" s="48">
        <f>BB28</f>
        <v>74.19999999999999</v>
      </c>
      <c r="F28" s="124"/>
      <c r="G28" s="49"/>
      <c r="H28" s="115"/>
      <c r="I28" s="49">
        <v>20</v>
      </c>
      <c r="J28" s="115"/>
      <c r="K28" s="115"/>
      <c r="L28" s="115"/>
      <c r="M28" s="49">
        <v>10</v>
      </c>
      <c r="N28" s="115"/>
      <c r="O28" s="124">
        <v>4.57</v>
      </c>
      <c r="P28" s="49">
        <f>10*LOOKUP(O28,Performance2013!$C$1:$C$123,Performance2013!$D$1:$D$123)</f>
        <v>11.979999999999995</v>
      </c>
      <c r="Q28" s="124"/>
      <c r="R28" s="49"/>
      <c r="S28" s="124"/>
      <c r="T28" s="49"/>
      <c r="U28" s="49"/>
      <c r="V28" s="49"/>
      <c r="W28" s="49"/>
      <c r="X28" s="49"/>
      <c r="Y28" s="49"/>
      <c r="Z28" s="49"/>
      <c r="AA28" s="49">
        <v>5.5</v>
      </c>
      <c r="AB28" s="49"/>
      <c r="AC28" s="49"/>
      <c r="AD28" s="49"/>
      <c r="AE28" s="49"/>
      <c r="AF28" s="49"/>
      <c r="AG28" s="49"/>
      <c r="AH28" s="49"/>
      <c r="AI28" s="49"/>
      <c r="AJ28" s="49">
        <v>10</v>
      </c>
      <c r="AK28" s="124">
        <v>5.2</v>
      </c>
      <c r="AL28" s="49">
        <f>12*LOOKUP(AK28,Performance2013!$C$1:$C$123,Performance2013!$D$1:$D$123)</f>
        <v>12.719999999999992</v>
      </c>
      <c r="AM28" s="49"/>
      <c r="AN28" s="49"/>
      <c r="AO28" s="49"/>
      <c r="AP28" s="49">
        <v>4</v>
      </c>
      <c r="AQ28" s="49"/>
      <c r="AR28" s="49"/>
      <c r="AS28" s="49"/>
      <c r="AT28" s="49"/>
      <c r="AU28" s="49"/>
      <c r="AV28" s="136"/>
      <c r="AW28" s="119">
        <f t="shared" si="2"/>
        <v>74.19999999999999</v>
      </c>
      <c r="AX28" s="176"/>
      <c r="AY28" s="173"/>
      <c r="AZ28" s="174"/>
      <c r="BA28" s="175"/>
      <c r="BB28" s="177">
        <f t="shared" si="1"/>
        <v>74.19999999999999</v>
      </c>
      <c r="BC28" s="5"/>
    </row>
    <row r="29" spans="2:55" ht="17.25" customHeight="1">
      <c r="B29" s="106" t="s">
        <v>18</v>
      </c>
      <c r="C29" s="107" t="s">
        <v>237</v>
      </c>
      <c r="D29" s="120"/>
      <c r="E29" s="121">
        <f>AW29</f>
        <v>64</v>
      </c>
      <c r="F29" s="179"/>
      <c r="G29" s="35"/>
      <c r="H29" s="211"/>
      <c r="I29" s="207"/>
      <c r="J29" s="35"/>
      <c r="K29" s="35"/>
      <c r="L29" s="210" t="s">
        <v>133</v>
      </c>
      <c r="M29" s="207">
        <v>5</v>
      </c>
      <c r="N29" s="203"/>
      <c r="O29" s="123" t="s">
        <v>133</v>
      </c>
      <c r="P29" s="35">
        <v>5</v>
      </c>
      <c r="Q29" s="211">
        <v>6.5</v>
      </c>
      <c r="R29" s="207">
        <v>7</v>
      </c>
      <c r="S29" s="35"/>
      <c r="T29" s="35">
        <v>5</v>
      </c>
      <c r="U29" s="207">
        <v>5.85</v>
      </c>
      <c r="V29" s="207"/>
      <c r="W29" s="35"/>
      <c r="X29" s="35"/>
      <c r="Y29" s="207"/>
      <c r="Z29" s="207">
        <v>14</v>
      </c>
      <c r="AA29" s="222"/>
      <c r="AB29" s="222"/>
      <c r="AC29" s="211">
        <v>6.48</v>
      </c>
      <c r="AD29" s="207">
        <v>5</v>
      </c>
      <c r="AE29" s="129">
        <v>6.26</v>
      </c>
      <c r="AF29" s="35">
        <v>12.5</v>
      </c>
      <c r="AG29" s="211"/>
      <c r="AH29" s="207"/>
      <c r="AI29" s="129"/>
      <c r="AJ29" s="35"/>
      <c r="AK29" s="211"/>
      <c r="AL29" s="207"/>
      <c r="AM29" s="129"/>
      <c r="AN29" s="35"/>
      <c r="AO29" s="35">
        <v>4.65</v>
      </c>
      <c r="AP29" s="35"/>
      <c r="AQ29" s="35"/>
      <c r="AR29" s="35"/>
      <c r="AS29" s="35"/>
      <c r="AT29" s="35"/>
      <c r="AU29" s="35"/>
      <c r="AV29" s="138"/>
      <c r="AW29" s="119">
        <f t="shared" si="2"/>
        <v>64</v>
      </c>
      <c r="BB29" s="168">
        <f t="shared" si="1"/>
        <v>64</v>
      </c>
      <c r="BC29" s="5"/>
    </row>
    <row r="30" spans="2:55" ht="17.25" customHeight="1">
      <c r="B30" s="106" t="s">
        <v>19</v>
      </c>
      <c r="C30" s="107" t="s">
        <v>65</v>
      </c>
      <c r="D30" s="120"/>
      <c r="E30" s="121">
        <f>BB30</f>
        <v>63.099599999999995</v>
      </c>
      <c r="F30" s="123"/>
      <c r="G30" s="43"/>
      <c r="H30" s="211"/>
      <c r="I30" s="207"/>
      <c r="J30" s="129">
        <v>5.27</v>
      </c>
      <c r="K30" s="35">
        <f>1.018*42.2</f>
        <v>42.9596</v>
      </c>
      <c r="L30" s="211"/>
      <c r="M30" s="207"/>
      <c r="N30" s="203"/>
      <c r="O30" s="123">
        <v>4.16</v>
      </c>
      <c r="P30" s="201">
        <f>10*(LOOKUP(O30,Performance2013!$A$1:$A$123,Performance2013!$B$1:$B$123))</f>
        <v>12.639999999999995</v>
      </c>
      <c r="Q30" s="210"/>
      <c r="R30" s="207"/>
      <c r="S30" s="123"/>
      <c r="T30" s="35"/>
      <c r="U30" s="207"/>
      <c r="V30" s="207">
        <v>7.5</v>
      </c>
      <c r="W30" s="35"/>
      <c r="X30" s="35"/>
      <c r="Y30" s="219"/>
      <c r="Z30" s="219"/>
      <c r="AA30" s="222"/>
      <c r="AB30" s="222"/>
      <c r="AC30" s="207"/>
      <c r="AD30" s="207"/>
      <c r="AE30" s="35"/>
      <c r="AF30" s="35"/>
      <c r="AG30" s="207"/>
      <c r="AH30" s="207"/>
      <c r="AI30" s="35"/>
      <c r="AJ30" s="35"/>
      <c r="AK30" s="207"/>
      <c r="AL30" s="207"/>
      <c r="AM30" s="35"/>
      <c r="AN30" s="35"/>
      <c r="AO30" s="35"/>
      <c r="AP30" s="35"/>
      <c r="AQ30" s="35"/>
      <c r="AR30" s="35"/>
      <c r="AS30" s="35"/>
      <c r="AT30" s="35"/>
      <c r="AU30" s="35"/>
      <c r="AV30" s="138"/>
      <c r="AW30" s="119">
        <f t="shared" si="2"/>
        <v>63.099599999999995</v>
      </c>
      <c r="AY30" s="169"/>
      <c r="AZ30" s="165"/>
      <c r="BA30" s="163"/>
      <c r="BB30" s="168">
        <f t="shared" si="1"/>
        <v>63.099599999999995</v>
      </c>
      <c r="BC30" s="5"/>
    </row>
    <row r="31" spans="2:55" ht="17.25" customHeight="1">
      <c r="B31" s="106" t="s">
        <v>20</v>
      </c>
      <c r="C31" s="46" t="s">
        <v>84</v>
      </c>
      <c r="D31" s="122"/>
      <c r="E31" s="121">
        <f>BB31</f>
        <v>61.85</v>
      </c>
      <c r="F31" s="123"/>
      <c r="G31" s="35"/>
      <c r="H31" s="209"/>
      <c r="I31" s="207"/>
      <c r="J31" s="35"/>
      <c r="K31" s="35"/>
      <c r="L31" s="210" t="s">
        <v>133</v>
      </c>
      <c r="M31" s="207">
        <v>5</v>
      </c>
      <c r="N31" s="203"/>
      <c r="O31" s="123">
        <v>5.1</v>
      </c>
      <c r="P31" s="35">
        <f>10*1.054</f>
        <v>10.540000000000001</v>
      </c>
      <c r="Q31" s="210"/>
      <c r="R31" s="207"/>
      <c r="S31" s="35"/>
      <c r="T31" s="35">
        <v>5</v>
      </c>
      <c r="U31" s="207"/>
      <c r="V31" s="207"/>
      <c r="W31" s="35"/>
      <c r="X31" s="35"/>
      <c r="Y31" s="207"/>
      <c r="Z31" s="207">
        <v>14</v>
      </c>
      <c r="AA31" s="222"/>
      <c r="AB31" s="222"/>
      <c r="AC31" s="211"/>
      <c r="AD31" s="207"/>
      <c r="AE31" s="129"/>
      <c r="AF31" s="35"/>
      <c r="AG31" s="211">
        <v>5.4</v>
      </c>
      <c r="AH31" s="207">
        <v>12</v>
      </c>
      <c r="AI31" s="129">
        <v>5.08</v>
      </c>
      <c r="AJ31" s="35">
        <v>10.66</v>
      </c>
      <c r="AK31" s="211"/>
      <c r="AL31" s="207"/>
      <c r="AM31" s="129"/>
      <c r="AN31" s="35"/>
      <c r="AO31" s="35">
        <v>4.65</v>
      </c>
      <c r="AP31" s="35"/>
      <c r="AQ31" s="35"/>
      <c r="AR31" s="35"/>
      <c r="AS31" s="35"/>
      <c r="AT31" s="35"/>
      <c r="AU31" s="35"/>
      <c r="AV31" s="143"/>
      <c r="AW31" s="119">
        <f t="shared" si="2"/>
        <v>61.85</v>
      </c>
      <c r="AY31" s="169"/>
      <c r="AZ31" s="163"/>
      <c r="BA31" s="165"/>
      <c r="BB31" s="168">
        <f t="shared" si="1"/>
        <v>61.85</v>
      </c>
      <c r="BC31" s="5"/>
    </row>
    <row r="32" spans="2:55" ht="17.25" customHeight="1">
      <c r="B32" s="106" t="s">
        <v>21</v>
      </c>
      <c r="C32" s="107" t="s">
        <v>64</v>
      </c>
      <c r="D32" s="120"/>
      <c r="E32" s="121">
        <f>AW32</f>
        <v>54.606799999999986</v>
      </c>
      <c r="F32" s="179"/>
      <c r="G32" s="35"/>
      <c r="H32" s="211"/>
      <c r="I32" s="207"/>
      <c r="J32" s="35"/>
      <c r="K32" s="35"/>
      <c r="L32" s="211"/>
      <c r="M32" s="207"/>
      <c r="N32" s="203"/>
      <c r="O32" s="123"/>
      <c r="P32" s="35"/>
      <c r="Q32" s="211"/>
      <c r="R32" s="207"/>
      <c r="S32" s="43"/>
      <c r="T32" s="35"/>
      <c r="U32" s="207"/>
      <c r="V32" s="207"/>
      <c r="W32" s="35"/>
      <c r="X32" s="35"/>
      <c r="Y32" s="211">
        <v>4.5</v>
      </c>
      <c r="Z32" s="208">
        <f>42.2*(LOOKUP(Y32,Performance2013!$E$1:$E$123,Performance2013!$F$1:$F$123)+0.054)</f>
        <v>54.606799999999986</v>
      </c>
      <c r="AA32" s="222"/>
      <c r="AB32" s="222"/>
      <c r="AC32" s="207"/>
      <c r="AD32" s="207"/>
      <c r="AE32" s="35"/>
      <c r="AF32" s="35"/>
      <c r="AG32" s="207"/>
      <c r="AH32" s="207"/>
      <c r="AI32" s="35"/>
      <c r="AJ32" s="35"/>
      <c r="AK32" s="207"/>
      <c r="AL32" s="207"/>
      <c r="AM32" s="35"/>
      <c r="AN32" s="35"/>
      <c r="AO32" s="35"/>
      <c r="AP32" s="35"/>
      <c r="AQ32" s="35"/>
      <c r="AR32" s="35"/>
      <c r="AS32" s="35"/>
      <c r="AT32" s="35"/>
      <c r="AU32" s="35"/>
      <c r="AV32" s="138"/>
      <c r="AW32" s="119">
        <f t="shared" si="2"/>
        <v>54.606799999999986</v>
      </c>
      <c r="BB32" s="168">
        <f t="shared" si="1"/>
        <v>54.606799999999986</v>
      </c>
      <c r="BC32" s="5"/>
    </row>
    <row r="33" spans="2:55" ht="17.25" customHeight="1">
      <c r="B33" s="106" t="s">
        <v>22</v>
      </c>
      <c r="C33" s="107" t="s">
        <v>53</v>
      </c>
      <c r="D33" s="120"/>
      <c r="E33" s="121">
        <f>AW33</f>
        <v>54</v>
      </c>
      <c r="F33" s="123"/>
      <c r="G33" s="35"/>
      <c r="H33" s="211"/>
      <c r="I33" s="207"/>
      <c r="J33" s="35"/>
      <c r="K33" s="35"/>
      <c r="L33" s="210" t="s">
        <v>133</v>
      </c>
      <c r="M33" s="207">
        <v>5</v>
      </c>
      <c r="N33" s="203">
        <v>6.5</v>
      </c>
      <c r="O33" s="123"/>
      <c r="P33" s="35"/>
      <c r="Q33" s="211"/>
      <c r="R33" s="215">
        <v>14</v>
      </c>
      <c r="S33" s="35"/>
      <c r="T33" s="35"/>
      <c r="U33" s="207">
        <v>5.85</v>
      </c>
      <c r="V33" s="207">
        <v>7.5</v>
      </c>
      <c r="W33" s="35"/>
      <c r="X33" s="35"/>
      <c r="Y33" s="207"/>
      <c r="Z33" s="207"/>
      <c r="AA33" s="222">
        <v>5.5</v>
      </c>
      <c r="AB33" s="222">
        <v>5</v>
      </c>
      <c r="AC33" s="207"/>
      <c r="AD33" s="207"/>
      <c r="AE33" s="35"/>
      <c r="AF33" s="35"/>
      <c r="AG33" s="207"/>
      <c r="AH33" s="207"/>
      <c r="AI33" s="35"/>
      <c r="AJ33" s="35"/>
      <c r="AK33" s="207"/>
      <c r="AL33" s="207"/>
      <c r="AM33" s="35"/>
      <c r="AN33" s="35"/>
      <c r="AO33" s="35">
        <v>4.65</v>
      </c>
      <c r="AP33" s="35"/>
      <c r="AQ33" s="35"/>
      <c r="AR33" s="35"/>
      <c r="AS33" s="35"/>
      <c r="AT33" s="35"/>
      <c r="AU33" s="35"/>
      <c r="AV33" s="138"/>
      <c r="AW33" s="119">
        <f t="shared" si="2"/>
        <v>54</v>
      </c>
      <c r="BB33" s="168">
        <f t="shared" si="1"/>
        <v>54</v>
      </c>
      <c r="BC33" s="5"/>
    </row>
    <row r="34" spans="2:55" ht="17.25" customHeight="1">
      <c r="B34" s="106" t="s">
        <v>23</v>
      </c>
      <c r="C34" s="46" t="s">
        <v>146</v>
      </c>
      <c r="D34" s="120"/>
      <c r="E34" s="121">
        <f>AW34</f>
        <v>53.5</v>
      </c>
      <c r="F34" s="127"/>
      <c r="G34" s="35"/>
      <c r="H34" s="211"/>
      <c r="I34" s="207"/>
      <c r="J34" s="35"/>
      <c r="K34" s="35"/>
      <c r="L34" s="212"/>
      <c r="M34" s="207"/>
      <c r="N34" s="203"/>
      <c r="O34" s="123">
        <v>6.35</v>
      </c>
      <c r="P34" s="35">
        <v>5</v>
      </c>
      <c r="Q34" s="212"/>
      <c r="R34" s="215">
        <v>14</v>
      </c>
      <c r="S34" s="129"/>
      <c r="T34" s="35">
        <v>5</v>
      </c>
      <c r="U34" s="207">
        <f>11.7/2</f>
        <v>5.85</v>
      </c>
      <c r="V34" s="207"/>
      <c r="W34" s="35"/>
      <c r="X34" s="35"/>
      <c r="Y34" s="207"/>
      <c r="Z34" s="207">
        <v>14</v>
      </c>
      <c r="AA34" s="222"/>
      <c r="AB34" s="222">
        <v>5</v>
      </c>
      <c r="AC34" s="211"/>
      <c r="AD34" s="207"/>
      <c r="AE34" s="129"/>
      <c r="AF34" s="35"/>
      <c r="AG34" s="211"/>
      <c r="AH34" s="207"/>
      <c r="AI34" s="129"/>
      <c r="AJ34" s="35"/>
      <c r="AK34" s="211"/>
      <c r="AL34" s="207"/>
      <c r="AM34" s="129"/>
      <c r="AN34" s="35"/>
      <c r="AO34" s="35">
        <v>4.65</v>
      </c>
      <c r="AP34" s="35"/>
      <c r="AQ34" s="35"/>
      <c r="AR34" s="35"/>
      <c r="AS34" s="35"/>
      <c r="AT34" s="35"/>
      <c r="AU34" s="132"/>
      <c r="AV34" s="138"/>
      <c r="AW34" s="119">
        <f t="shared" si="2"/>
        <v>53.5</v>
      </c>
      <c r="AY34" s="164"/>
      <c r="BB34" s="168">
        <f t="shared" si="1"/>
        <v>53.5</v>
      </c>
      <c r="BC34" s="5"/>
    </row>
    <row r="35" spans="2:55" ht="17.25" customHeight="1">
      <c r="B35" s="106" t="s">
        <v>24</v>
      </c>
      <c r="C35" s="107" t="s">
        <v>238</v>
      </c>
      <c r="D35" s="122"/>
      <c r="E35" s="121">
        <f>AW35</f>
        <v>42.12799999999998</v>
      </c>
      <c r="F35" s="180"/>
      <c r="H35" s="209"/>
      <c r="I35" s="209"/>
      <c r="J35" s="38"/>
      <c r="L35" s="209"/>
      <c r="M35" s="213"/>
      <c r="N35" s="206"/>
      <c r="O35" s="199">
        <v>4.25</v>
      </c>
      <c r="P35" s="201">
        <f>10*(LOOKUP(O35,Performance2013!$A$1:$A$123,Performance2013!$B$1:$B$123))</f>
        <v>12.099999999999994</v>
      </c>
      <c r="Q35" s="210">
        <v>4.43</v>
      </c>
      <c r="R35" s="208">
        <f>14*(LOOKUP(Q35,Performance2013!$A$1:$A$123,Performance2013!$B$1:$B$123))</f>
        <v>15.427999999999992</v>
      </c>
      <c r="S35" s="38"/>
      <c r="T35" s="38"/>
      <c r="U35" s="209"/>
      <c r="V35" s="209"/>
      <c r="W35" s="38"/>
      <c r="X35" s="38"/>
      <c r="Y35" s="209"/>
      <c r="Z35" s="209"/>
      <c r="AA35" s="224"/>
      <c r="AB35" s="224"/>
      <c r="AC35" s="209"/>
      <c r="AD35" s="209"/>
      <c r="AE35" s="129">
        <v>4.32</v>
      </c>
      <c r="AF35" s="201">
        <f>12.5*(LOOKUP(AE35,Performance2013!$A$1:$A$123,Performance2013!$B$1:$B$123))</f>
        <v>14.599999999999994</v>
      </c>
      <c r="AG35" s="209"/>
      <c r="AH35" s="209"/>
      <c r="AI35" s="129"/>
      <c r="AJ35" s="201"/>
      <c r="AK35" s="209"/>
      <c r="AL35" s="209"/>
      <c r="AM35" s="129"/>
      <c r="AN35" s="201"/>
      <c r="AO35" s="38"/>
      <c r="AP35" s="38"/>
      <c r="AQ35" s="38"/>
      <c r="AR35" s="38"/>
      <c r="AS35" s="38"/>
      <c r="AT35" s="38"/>
      <c r="AU35" s="38"/>
      <c r="AV35" s="138"/>
      <c r="AW35" s="119">
        <f t="shared" si="2"/>
        <v>42.12799999999998</v>
      </c>
      <c r="BB35" s="168">
        <f t="shared" si="1"/>
        <v>42.12799999999998</v>
      </c>
      <c r="BC35" s="5"/>
    </row>
    <row r="36" spans="1:55" ht="17.25" customHeight="1">
      <c r="A36">
        <v>10</v>
      </c>
      <c r="B36" s="106" t="s">
        <v>73</v>
      </c>
      <c r="C36" s="46" t="s">
        <v>88</v>
      </c>
      <c r="D36" s="122"/>
      <c r="E36" s="121">
        <f>BB36</f>
        <v>41.209999999999994</v>
      </c>
      <c r="F36" s="125"/>
      <c r="G36" s="35"/>
      <c r="H36" s="209"/>
      <c r="I36" s="207"/>
      <c r="J36" s="38"/>
      <c r="K36" s="38"/>
      <c r="L36" s="210" t="s">
        <v>133</v>
      </c>
      <c r="M36" s="207">
        <v>5</v>
      </c>
      <c r="N36" s="203"/>
      <c r="O36" s="123">
        <v>4.59</v>
      </c>
      <c r="P36" s="201">
        <f>10*(LOOKUP(O36,Performance2013!$A$1:$A$123,Performance2013!$B$1:$B$123))</f>
        <v>10.059999999999993</v>
      </c>
      <c r="Q36" s="210"/>
      <c r="R36" s="215">
        <v>14</v>
      </c>
      <c r="S36" s="38"/>
      <c r="T36" s="35"/>
      <c r="U36" s="207"/>
      <c r="V36" s="207">
        <v>7.5</v>
      </c>
      <c r="W36" s="35"/>
      <c r="X36" s="35"/>
      <c r="Y36" s="207"/>
      <c r="Z36" s="207"/>
      <c r="AA36" s="222"/>
      <c r="AB36" s="222"/>
      <c r="AC36" s="207"/>
      <c r="AD36" s="207"/>
      <c r="AE36" s="35"/>
      <c r="AF36" s="35"/>
      <c r="AG36" s="207"/>
      <c r="AH36" s="207"/>
      <c r="AI36" s="35"/>
      <c r="AJ36" s="35"/>
      <c r="AK36" s="207"/>
      <c r="AL36" s="207"/>
      <c r="AM36" s="35"/>
      <c r="AN36" s="35"/>
      <c r="AO36" s="35">
        <v>4.65</v>
      </c>
      <c r="AP36" s="35"/>
      <c r="AQ36" s="35"/>
      <c r="AR36" s="35"/>
      <c r="AS36" s="35"/>
      <c r="AT36" s="35"/>
      <c r="AU36" s="132"/>
      <c r="AV36" s="138"/>
      <c r="AW36" s="119">
        <f t="shared" si="2"/>
        <v>41.209999999999994</v>
      </c>
      <c r="AY36" s="166"/>
      <c r="AZ36" s="163"/>
      <c r="BA36" s="163"/>
      <c r="BB36" s="168">
        <f t="shared" si="1"/>
        <v>41.209999999999994</v>
      </c>
      <c r="BC36" s="5"/>
    </row>
    <row r="37" spans="2:55" ht="17.25" customHeight="1">
      <c r="B37" s="106" t="s">
        <v>74</v>
      </c>
      <c r="C37" s="46" t="s">
        <v>67</v>
      </c>
      <c r="D37" s="120"/>
      <c r="E37" s="121">
        <f>BB37</f>
        <v>40.195999999999984</v>
      </c>
      <c r="F37" s="123">
        <v>4.11</v>
      </c>
      <c r="G37" s="35">
        <v>10</v>
      </c>
      <c r="H37" s="211"/>
      <c r="I37" s="207"/>
      <c r="J37" s="35"/>
      <c r="K37" s="35"/>
      <c r="L37" s="210"/>
      <c r="M37" s="207"/>
      <c r="N37" s="203"/>
      <c r="O37" s="123"/>
      <c r="P37" s="35"/>
      <c r="Q37" s="210">
        <v>4.41</v>
      </c>
      <c r="R37" s="208">
        <f>14*(LOOKUP(Q37,Performance2013!$A$1:$A$123,Performance2013!$B$1:$B$123))</f>
        <v>15.595999999999993</v>
      </c>
      <c r="S37" s="35"/>
      <c r="T37" s="35"/>
      <c r="U37" s="207"/>
      <c r="V37" s="207"/>
      <c r="W37" s="35"/>
      <c r="X37" s="35"/>
      <c r="Y37" s="207"/>
      <c r="Z37" s="207"/>
      <c r="AA37" s="222"/>
      <c r="AB37" s="222"/>
      <c r="AC37" s="207"/>
      <c r="AD37" s="207"/>
      <c r="AE37" s="129">
        <v>4.32</v>
      </c>
      <c r="AF37" s="201">
        <f>12.5*(LOOKUP(AE37,Performance2013!$A$1:$A$123,Performance2013!$B$1:$B$123))</f>
        <v>14.599999999999994</v>
      </c>
      <c r="AG37" s="207"/>
      <c r="AH37" s="207"/>
      <c r="AI37" s="129"/>
      <c r="AJ37" s="201"/>
      <c r="AK37" s="207"/>
      <c r="AL37" s="207"/>
      <c r="AM37" s="129"/>
      <c r="AN37" s="201"/>
      <c r="AO37" s="35"/>
      <c r="AP37" s="35"/>
      <c r="AQ37" s="35"/>
      <c r="AR37" s="35"/>
      <c r="AS37" s="35"/>
      <c r="AT37" s="35"/>
      <c r="AU37" s="131"/>
      <c r="AV37" s="138"/>
      <c r="AW37" s="119">
        <f t="shared" si="2"/>
        <v>40.195999999999984</v>
      </c>
      <c r="AY37" s="166"/>
      <c r="AZ37" s="165"/>
      <c r="BA37" s="163"/>
      <c r="BB37" s="168">
        <f t="shared" si="1"/>
        <v>40.195999999999984</v>
      </c>
      <c r="BC37" s="5"/>
    </row>
    <row r="38" spans="2:54" ht="17.25" customHeight="1">
      <c r="B38" s="106" t="s">
        <v>75</v>
      </c>
      <c r="C38" s="107" t="s">
        <v>236</v>
      </c>
      <c r="D38" s="120"/>
      <c r="E38" s="121">
        <f>AW38</f>
        <v>37.15</v>
      </c>
      <c r="F38" s="179"/>
      <c r="G38" s="35"/>
      <c r="H38" s="211"/>
      <c r="I38" s="207"/>
      <c r="J38" s="35"/>
      <c r="K38" s="35"/>
      <c r="L38" s="211"/>
      <c r="M38" s="207"/>
      <c r="N38" s="203"/>
      <c r="O38" s="123"/>
      <c r="P38" s="35"/>
      <c r="Q38" s="211"/>
      <c r="R38" s="207"/>
      <c r="S38" s="35"/>
      <c r="T38" s="35"/>
      <c r="U38" s="207"/>
      <c r="V38" s="207"/>
      <c r="W38" s="35"/>
      <c r="X38" s="35"/>
      <c r="Y38" s="207"/>
      <c r="Z38" s="207"/>
      <c r="AA38" s="222"/>
      <c r="AB38" s="222"/>
      <c r="AC38" s="207"/>
      <c r="AD38" s="207"/>
      <c r="AE38" s="35">
        <v>5.26</v>
      </c>
      <c r="AF38" s="35">
        <v>12.5</v>
      </c>
      <c r="AG38" s="207"/>
      <c r="AH38" s="207"/>
      <c r="AI38" s="35"/>
      <c r="AJ38" s="35"/>
      <c r="AK38" s="207"/>
      <c r="AL38" s="207"/>
      <c r="AM38" s="129">
        <v>5.22</v>
      </c>
      <c r="AN38" s="35">
        <f>13.5+6.5</f>
        <v>20</v>
      </c>
      <c r="AO38" s="35">
        <v>4.65</v>
      </c>
      <c r="AP38" s="35"/>
      <c r="AQ38" s="35"/>
      <c r="AR38" s="35"/>
      <c r="AS38" s="35"/>
      <c r="AT38" s="35"/>
      <c r="AU38" s="35"/>
      <c r="AV38" s="138"/>
      <c r="AW38" s="119">
        <f t="shared" si="2"/>
        <v>37.15</v>
      </c>
      <c r="BB38" s="168">
        <f t="shared" si="1"/>
        <v>37.15</v>
      </c>
    </row>
    <row r="39" spans="2:54" ht="17.25" customHeight="1">
      <c r="B39" s="106" t="s">
        <v>76</v>
      </c>
      <c r="C39" s="46" t="s">
        <v>127</v>
      </c>
      <c r="D39" s="120"/>
      <c r="E39" s="121">
        <f>BB39</f>
        <v>32.11999999999999</v>
      </c>
      <c r="F39" s="123"/>
      <c r="G39" s="35"/>
      <c r="H39" s="211"/>
      <c r="I39" s="207"/>
      <c r="J39" s="35"/>
      <c r="K39" s="35"/>
      <c r="L39" s="210" t="s">
        <v>133</v>
      </c>
      <c r="M39" s="207">
        <v>5</v>
      </c>
      <c r="N39" s="203"/>
      <c r="O39" s="123">
        <v>4.58</v>
      </c>
      <c r="P39" s="201">
        <f>10*(LOOKUP(O39,Performance2013!$A$1:$A$123,Performance2013!$B$1:$B$123))</f>
        <v>10.119999999999994</v>
      </c>
      <c r="Q39" s="210"/>
      <c r="R39" s="207"/>
      <c r="S39" s="35"/>
      <c r="T39" s="35"/>
      <c r="U39" s="207"/>
      <c r="V39" s="207"/>
      <c r="W39" s="35"/>
      <c r="X39" s="35"/>
      <c r="Y39" s="207"/>
      <c r="Z39" s="207"/>
      <c r="AA39" s="222"/>
      <c r="AB39" s="222">
        <v>5</v>
      </c>
      <c r="AC39" s="211"/>
      <c r="AD39" s="207"/>
      <c r="AE39" s="129"/>
      <c r="AF39" s="35"/>
      <c r="AG39" s="211">
        <v>5.17</v>
      </c>
      <c r="AH39" s="207">
        <v>12</v>
      </c>
      <c r="AI39" s="129"/>
      <c r="AJ39" s="35"/>
      <c r="AK39" s="211"/>
      <c r="AL39" s="207"/>
      <c r="AM39" s="129"/>
      <c r="AN39" s="35"/>
      <c r="AO39" s="35"/>
      <c r="AP39" s="35"/>
      <c r="AQ39" s="35"/>
      <c r="AR39" s="35"/>
      <c r="AS39" s="35"/>
      <c r="AT39" s="35"/>
      <c r="AU39" s="35"/>
      <c r="AV39" s="138"/>
      <c r="AW39" s="119">
        <f t="shared" si="2"/>
        <v>32.11999999999999</v>
      </c>
      <c r="AY39" s="166"/>
      <c r="AZ39" s="165"/>
      <c r="BA39" s="163"/>
      <c r="BB39" s="168">
        <f t="shared" si="1"/>
        <v>32.11999999999999</v>
      </c>
    </row>
    <row r="40" spans="2:54" ht="17.25" customHeight="1">
      <c r="B40" s="106" t="s">
        <v>77</v>
      </c>
      <c r="C40" s="107" t="s">
        <v>126</v>
      </c>
      <c r="D40" s="120"/>
      <c r="E40" s="121">
        <f>BB40</f>
        <v>29</v>
      </c>
      <c r="F40" s="123">
        <v>4.33</v>
      </c>
      <c r="G40" s="35">
        <v>10</v>
      </c>
      <c r="H40" s="211"/>
      <c r="I40" s="207"/>
      <c r="J40" s="35"/>
      <c r="K40" s="35"/>
      <c r="L40" s="210" t="s">
        <v>133</v>
      </c>
      <c r="M40" s="207">
        <v>5</v>
      </c>
      <c r="N40" s="203"/>
      <c r="O40" s="123"/>
      <c r="P40" s="35"/>
      <c r="Q40" s="210"/>
      <c r="R40" s="215">
        <v>14</v>
      </c>
      <c r="S40" s="123"/>
      <c r="T40" s="35"/>
      <c r="U40" s="207"/>
      <c r="V40" s="207"/>
      <c r="W40" s="35"/>
      <c r="X40" s="35"/>
      <c r="Y40" s="207"/>
      <c r="Z40" s="207"/>
      <c r="AA40" s="222"/>
      <c r="AB40" s="222"/>
      <c r="AC40" s="207"/>
      <c r="AD40" s="207"/>
      <c r="AE40" s="35"/>
      <c r="AF40" s="35"/>
      <c r="AG40" s="207"/>
      <c r="AH40" s="207"/>
      <c r="AI40" s="35"/>
      <c r="AJ40" s="35"/>
      <c r="AK40" s="207"/>
      <c r="AL40" s="207"/>
      <c r="AM40" s="35"/>
      <c r="AN40" s="35"/>
      <c r="AO40" s="35"/>
      <c r="AP40" s="35"/>
      <c r="AQ40" s="35"/>
      <c r="AR40" s="35"/>
      <c r="AS40" s="35"/>
      <c r="AT40" s="35"/>
      <c r="AU40" s="35"/>
      <c r="AV40" s="145"/>
      <c r="AW40" s="119">
        <f t="shared" si="2"/>
        <v>29</v>
      </c>
      <c r="AY40" s="169"/>
      <c r="AZ40" s="165"/>
      <c r="BA40" s="165"/>
      <c r="BB40" s="168">
        <f t="shared" si="1"/>
        <v>29</v>
      </c>
    </row>
    <row r="41" spans="2:54" ht="17.25" customHeight="1">
      <c r="B41" s="106" t="s">
        <v>89</v>
      </c>
      <c r="C41" s="107" t="s">
        <v>190</v>
      </c>
      <c r="D41" s="120"/>
      <c r="E41" s="121">
        <f>AW41</f>
        <v>28.65</v>
      </c>
      <c r="F41" s="179"/>
      <c r="G41" s="35"/>
      <c r="H41" s="209"/>
      <c r="I41" s="209"/>
      <c r="J41" s="38"/>
      <c r="K41" s="201"/>
      <c r="L41" s="214" t="s">
        <v>133</v>
      </c>
      <c r="M41" s="207">
        <v>5</v>
      </c>
      <c r="N41" s="203"/>
      <c r="O41" s="123"/>
      <c r="P41" s="38"/>
      <c r="Q41" s="209"/>
      <c r="R41" s="215">
        <v>14</v>
      </c>
      <c r="S41" s="35"/>
      <c r="T41" s="35"/>
      <c r="U41" s="207"/>
      <c r="V41" s="207"/>
      <c r="W41" s="35"/>
      <c r="X41" s="35"/>
      <c r="Y41" s="207"/>
      <c r="Z41" s="207"/>
      <c r="AA41" s="222"/>
      <c r="AB41" s="222">
        <v>5</v>
      </c>
      <c r="AC41" s="211"/>
      <c r="AD41" s="207"/>
      <c r="AE41" s="129"/>
      <c r="AF41" s="35"/>
      <c r="AG41" s="211"/>
      <c r="AH41" s="207"/>
      <c r="AI41" s="129"/>
      <c r="AJ41" s="35"/>
      <c r="AK41" s="211"/>
      <c r="AL41" s="207"/>
      <c r="AM41" s="129"/>
      <c r="AN41" s="35"/>
      <c r="AO41" s="35">
        <v>4.65</v>
      </c>
      <c r="AP41" s="35"/>
      <c r="AQ41" s="35"/>
      <c r="AR41" s="35"/>
      <c r="AS41" s="35"/>
      <c r="AT41" s="35"/>
      <c r="AU41" s="35"/>
      <c r="AV41" s="138"/>
      <c r="AW41" s="119">
        <f t="shared" si="2"/>
        <v>28.65</v>
      </c>
      <c r="BB41" s="168">
        <f t="shared" si="1"/>
        <v>28.65</v>
      </c>
    </row>
    <row r="42" spans="2:54" ht="17.25" customHeight="1">
      <c r="B42" s="106" t="s">
        <v>244</v>
      </c>
      <c r="C42" s="46" t="s">
        <v>87</v>
      </c>
      <c r="D42" s="120"/>
      <c r="E42" s="121">
        <f>BB42</f>
        <v>26.35</v>
      </c>
      <c r="F42" s="123"/>
      <c r="G42" s="35"/>
      <c r="H42" s="211"/>
      <c r="I42" s="207"/>
      <c r="J42" s="35"/>
      <c r="K42" s="35"/>
      <c r="L42" s="211"/>
      <c r="M42" s="207"/>
      <c r="N42" s="203">
        <v>6.5</v>
      </c>
      <c r="O42" s="123"/>
      <c r="P42" s="35"/>
      <c r="Q42" s="211"/>
      <c r="R42" s="215">
        <v>14</v>
      </c>
      <c r="S42" s="123"/>
      <c r="T42" s="35"/>
      <c r="U42" s="207">
        <v>5.85</v>
      </c>
      <c r="V42" s="207"/>
      <c r="W42" s="35"/>
      <c r="X42" s="35"/>
      <c r="Y42" s="207"/>
      <c r="Z42" s="207"/>
      <c r="AA42" s="222"/>
      <c r="AB42" s="222"/>
      <c r="AC42" s="211"/>
      <c r="AD42" s="207"/>
      <c r="AE42" s="129"/>
      <c r="AF42" s="35"/>
      <c r="AG42" s="211"/>
      <c r="AH42" s="207"/>
      <c r="AI42" s="129"/>
      <c r="AJ42" s="35"/>
      <c r="AK42" s="211"/>
      <c r="AL42" s="207"/>
      <c r="AM42" s="129"/>
      <c r="AN42" s="35"/>
      <c r="AO42" s="35"/>
      <c r="AP42" s="35"/>
      <c r="AQ42" s="35"/>
      <c r="AR42" s="35"/>
      <c r="AS42" s="35"/>
      <c r="AT42" s="35"/>
      <c r="AU42" s="132"/>
      <c r="AV42" s="145"/>
      <c r="AW42" s="119">
        <f t="shared" si="2"/>
        <v>26.35</v>
      </c>
      <c r="AY42" s="166"/>
      <c r="AZ42" s="163"/>
      <c r="BA42" s="163"/>
      <c r="BB42" s="168">
        <f t="shared" si="1"/>
        <v>26.35</v>
      </c>
    </row>
    <row r="43" spans="2:54" ht="17.25" customHeight="1">
      <c r="B43" s="106" t="s">
        <v>122</v>
      </c>
      <c r="C43" s="107" t="s">
        <v>60</v>
      </c>
      <c r="D43" s="120"/>
      <c r="E43" s="121">
        <f>BB43</f>
        <v>19.5</v>
      </c>
      <c r="F43" s="123"/>
      <c r="G43" s="35"/>
      <c r="H43" s="211"/>
      <c r="I43" s="207"/>
      <c r="J43" s="35"/>
      <c r="K43" s="35"/>
      <c r="L43" s="210"/>
      <c r="M43" s="207"/>
      <c r="N43" s="203"/>
      <c r="O43" s="131"/>
      <c r="P43" s="35"/>
      <c r="Q43" s="210"/>
      <c r="R43" s="215">
        <v>14</v>
      </c>
      <c r="S43" s="35"/>
      <c r="T43" s="35"/>
      <c r="U43" s="207"/>
      <c r="V43" s="207"/>
      <c r="W43" s="35"/>
      <c r="X43" s="35"/>
      <c r="Y43" s="207"/>
      <c r="Z43" s="207"/>
      <c r="AA43" s="222">
        <v>5.5</v>
      </c>
      <c r="AB43" s="222"/>
      <c r="AC43" s="211"/>
      <c r="AD43" s="207"/>
      <c r="AE43" s="129"/>
      <c r="AF43" s="35"/>
      <c r="AG43" s="211"/>
      <c r="AH43" s="207"/>
      <c r="AI43" s="129"/>
      <c r="AJ43" s="35"/>
      <c r="AK43" s="211"/>
      <c r="AL43" s="207"/>
      <c r="AM43" s="129"/>
      <c r="AN43" s="35"/>
      <c r="AO43" s="35"/>
      <c r="AP43" s="35"/>
      <c r="AQ43" s="35"/>
      <c r="AR43" s="35"/>
      <c r="AS43" s="35"/>
      <c r="AT43" s="35"/>
      <c r="AU43" s="132"/>
      <c r="AV43" s="138"/>
      <c r="AW43" s="119">
        <f t="shared" si="2"/>
        <v>19.5</v>
      </c>
      <c r="AY43" s="166"/>
      <c r="AZ43" s="165"/>
      <c r="BA43" s="165"/>
      <c r="BB43" s="168">
        <f t="shared" si="1"/>
        <v>19.5</v>
      </c>
    </row>
    <row r="44" spans="2:54" ht="17.25" customHeight="1">
      <c r="B44" s="106" t="s">
        <v>139</v>
      </c>
      <c r="C44" s="107" t="s">
        <v>61</v>
      </c>
      <c r="D44" s="120"/>
      <c r="E44" s="121">
        <f>AW44</f>
        <v>19.5</v>
      </c>
      <c r="F44" s="123"/>
      <c r="G44" s="35"/>
      <c r="H44" s="211"/>
      <c r="I44" s="207"/>
      <c r="J44" s="35"/>
      <c r="K44" s="35"/>
      <c r="L44" s="212"/>
      <c r="M44" s="207"/>
      <c r="N44" s="203">
        <v>1.5</v>
      </c>
      <c r="O44" s="123"/>
      <c r="P44" s="35"/>
      <c r="Q44" s="212"/>
      <c r="R44" s="207"/>
      <c r="S44" s="35"/>
      <c r="T44" s="35"/>
      <c r="U44" s="207"/>
      <c r="V44" s="207">
        <v>7.5</v>
      </c>
      <c r="W44" s="35"/>
      <c r="X44" s="35"/>
      <c r="Y44" s="207"/>
      <c r="Z44" s="207"/>
      <c r="AA44" s="222">
        <v>5.5</v>
      </c>
      <c r="AB44" s="222">
        <v>5</v>
      </c>
      <c r="AC44" s="207"/>
      <c r="AD44" s="207"/>
      <c r="AE44" s="35"/>
      <c r="AF44" s="35"/>
      <c r="AG44" s="207"/>
      <c r="AH44" s="207"/>
      <c r="AI44" s="35"/>
      <c r="AJ44" s="35"/>
      <c r="AK44" s="207"/>
      <c r="AL44" s="207"/>
      <c r="AM44" s="35"/>
      <c r="AN44" s="35"/>
      <c r="AO44" s="35"/>
      <c r="AP44" s="35"/>
      <c r="AQ44" s="35"/>
      <c r="AR44" s="35"/>
      <c r="AS44" s="35"/>
      <c r="AT44" s="35"/>
      <c r="AU44" s="35"/>
      <c r="AV44" s="138"/>
      <c r="AW44" s="119">
        <f t="shared" si="2"/>
        <v>19.5</v>
      </c>
      <c r="BB44" s="168">
        <f t="shared" si="1"/>
        <v>19.5</v>
      </c>
    </row>
    <row r="45" spans="2:54" ht="17.25" customHeight="1">
      <c r="B45" s="106" t="s">
        <v>141</v>
      </c>
      <c r="C45" s="107" t="s">
        <v>240</v>
      </c>
      <c r="D45" s="120"/>
      <c r="E45" s="121">
        <f>AW45</f>
        <v>19.25</v>
      </c>
      <c r="F45" s="179"/>
      <c r="G45" s="35"/>
      <c r="H45" s="211"/>
      <c r="I45" s="207"/>
      <c r="J45" s="35"/>
      <c r="K45" s="35"/>
      <c r="L45" s="211"/>
      <c r="M45" s="207"/>
      <c r="N45" s="203"/>
      <c r="O45" s="123"/>
      <c r="P45" s="35"/>
      <c r="Q45" s="211"/>
      <c r="R45" s="207"/>
      <c r="S45" s="35"/>
      <c r="T45" s="35"/>
      <c r="U45" s="207"/>
      <c r="V45" s="207"/>
      <c r="W45" s="35"/>
      <c r="X45" s="35"/>
      <c r="Y45" s="207"/>
      <c r="Z45" s="207"/>
      <c r="AA45" s="222"/>
      <c r="AB45" s="222"/>
      <c r="AC45" s="207"/>
      <c r="AD45" s="207"/>
      <c r="AE45" s="35">
        <v>5.26</v>
      </c>
      <c r="AF45" s="35">
        <v>12.5</v>
      </c>
      <c r="AG45" s="207"/>
      <c r="AH45" s="207"/>
      <c r="AI45" s="35"/>
      <c r="AJ45" s="35"/>
      <c r="AK45" s="207"/>
      <c r="AL45" s="207"/>
      <c r="AM45" s="129">
        <v>6.16</v>
      </c>
      <c r="AN45" s="35">
        <f>13.5/2</f>
        <v>6.75</v>
      </c>
      <c r="AO45" s="35"/>
      <c r="AP45" s="35"/>
      <c r="AQ45" s="35"/>
      <c r="AR45" s="35"/>
      <c r="AS45" s="35"/>
      <c r="AT45" s="35"/>
      <c r="AU45" s="35"/>
      <c r="AV45" s="138"/>
      <c r="AW45" s="119">
        <f t="shared" si="2"/>
        <v>19.25</v>
      </c>
      <c r="BB45" s="168">
        <f t="shared" si="1"/>
        <v>19.25</v>
      </c>
    </row>
    <row r="46" spans="2:54" ht="17.25" customHeight="1">
      <c r="B46" s="106" t="s">
        <v>152</v>
      </c>
      <c r="C46" s="107" t="s">
        <v>71</v>
      </c>
      <c r="D46" s="120"/>
      <c r="E46" s="121">
        <f>AW46</f>
        <v>19</v>
      </c>
      <c r="F46" s="123"/>
      <c r="G46" s="35"/>
      <c r="H46" s="211"/>
      <c r="I46" s="207"/>
      <c r="J46" s="35"/>
      <c r="K46" s="35"/>
      <c r="L46" s="210" t="s">
        <v>133</v>
      </c>
      <c r="M46" s="207">
        <v>5</v>
      </c>
      <c r="N46" s="203"/>
      <c r="O46" s="123"/>
      <c r="P46" s="35"/>
      <c r="Q46" s="211"/>
      <c r="R46" s="215">
        <v>14</v>
      </c>
      <c r="S46" s="129"/>
      <c r="T46" s="35"/>
      <c r="U46" s="207"/>
      <c r="V46" s="207"/>
      <c r="W46" s="35"/>
      <c r="X46" s="35"/>
      <c r="Y46" s="207"/>
      <c r="Z46" s="207"/>
      <c r="AA46" s="222"/>
      <c r="AB46" s="222"/>
      <c r="AC46" s="211"/>
      <c r="AD46" s="207"/>
      <c r="AE46" s="129"/>
      <c r="AF46" s="35"/>
      <c r="AG46" s="211"/>
      <c r="AH46" s="207"/>
      <c r="AI46" s="129"/>
      <c r="AJ46" s="35"/>
      <c r="AK46" s="211"/>
      <c r="AL46" s="207"/>
      <c r="AM46" s="129"/>
      <c r="AN46" s="35"/>
      <c r="AO46" s="35"/>
      <c r="AP46" s="35"/>
      <c r="AQ46" s="35"/>
      <c r="AR46" s="35"/>
      <c r="AS46" s="35"/>
      <c r="AT46" s="35"/>
      <c r="AU46" s="35"/>
      <c r="AV46" s="138"/>
      <c r="AW46" s="119">
        <f t="shared" si="2"/>
        <v>19</v>
      </c>
      <c r="BB46" s="168">
        <f t="shared" si="1"/>
        <v>19</v>
      </c>
    </row>
    <row r="47" spans="2:54" ht="17.25" customHeight="1">
      <c r="B47" s="106" t="s">
        <v>153</v>
      </c>
      <c r="C47" s="107" t="s">
        <v>198</v>
      </c>
      <c r="D47" s="120"/>
      <c r="E47" s="121">
        <f>AW47</f>
        <v>14.671999999999992</v>
      </c>
      <c r="F47" s="179"/>
      <c r="G47" s="35"/>
      <c r="H47" s="209"/>
      <c r="I47" s="209"/>
      <c r="J47" s="38"/>
      <c r="K47" s="201"/>
      <c r="L47" s="214"/>
      <c r="M47" s="207"/>
      <c r="N47" s="203"/>
      <c r="O47" s="123"/>
      <c r="P47" s="38"/>
      <c r="Q47" s="209">
        <v>4.52</v>
      </c>
      <c r="R47" s="208">
        <f>14*(LOOKUP(Q47,Performance2013!$A$1:$A$123,Performance2013!$B$1:$B$123))</f>
        <v>14.671999999999992</v>
      </c>
      <c r="S47" s="35"/>
      <c r="T47" s="35"/>
      <c r="U47" s="207"/>
      <c r="V47" s="207"/>
      <c r="W47" s="35"/>
      <c r="X47" s="35"/>
      <c r="Y47" s="207"/>
      <c r="Z47" s="207"/>
      <c r="AA47" s="222"/>
      <c r="AB47" s="222"/>
      <c r="AC47" s="211"/>
      <c r="AD47" s="207"/>
      <c r="AE47" s="129"/>
      <c r="AF47" s="35"/>
      <c r="AG47" s="211"/>
      <c r="AH47" s="207"/>
      <c r="AI47" s="129"/>
      <c r="AJ47" s="35"/>
      <c r="AK47" s="211"/>
      <c r="AL47" s="207"/>
      <c r="AM47" s="129"/>
      <c r="AN47" s="35"/>
      <c r="AO47" s="35"/>
      <c r="AP47" s="35"/>
      <c r="AQ47" s="35"/>
      <c r="AR47" s="35"/>
      <c r="AS47" s="35"/>
      <c r="AT47" s="35"/>
      <c r="AU47" s="35"/>
      <c r="AV47" s="138"/>
      <c r="AW47" s="119">
        <f t="shared" si="2"/>
        <v>14.671999999999992</v>
      </c>
      <c r="BB47" s="168">
        <f t="shared" si="1"/>
        <v>14.671999999999992</v>
      </c>
    </row>
    <row r="48" spans="2:54" ht="17.25" customHeight="1">
      <c r="B48" s="106" t="s">
        <v>154</v>
      </c>
      <c r="C48" s="107" t="s">
        <v>56</v>
      </c>
      <c r="D48" s="120"/>
      <c r="E48" s="121">
        <f>BB48</f>
        <v>14</v>
      </c>
      <c r="F48" s="123"/>
      <c r="G48" s="35"/>
      <c r="H48" s="211"/>
      <c r="I48" s="207"/>
      <c r="J48" s="35"/>
      <c r="K48" s="35"/>
      <c r="L48" s="210"/>
      <c r="M48" s="207"/>
      <c r="N48" s="203"/>
      <c r="O48" s="131"/>
      <c r="P48" s="35"/>
      <c r="Q48" s="210"/>
      <c r="R48" s="215">
        <v>14</v>
      </c>
      <c r="S48" s="43"/>
      <c r="T48" s="35"/>
      <c r="U48" s="207"/>
      <c r="V48" s="207"/>
      <c r="W48" s="35"/>
      <c r="X48" s="35"/>
      <c r="Y48" s="207"/>
      <c r="Z48" s="207"/>
      <c r="AA48" s="222"/>
      <c r="AB48" s="222"/>
      <c r="AC48" s="211"/>
      <c r="AD48" s="207"/>
      <c r="AE48" s="129"/>
      <c r="AF48" s="35"/>
      <c r="AG48" s="211"/>
      <c r="AH48" s="207"/>
      <c r="AI48" s="129"/>
      <c r="AJ48" s="35"/>
      <c r="AK48" s="211"/>
      <c r="AL48" s="207"/>
      <c r="AM48" s="129"/>
      <c r="AN48" s="35"/>
      <c r="AO48" s="35"/>
      <c r="AP48" s="35"/>
      <c r="AQ48" s="35"/>
      <c r="AR48" s="35"/>
      <c r="AS48" s="35"/>
      <c r="AT48" s="35"/>
      <c r="AU48" s="132"/>
      <c r="AV48" s="137"/>
      <c r="AW48" s="119">
        <f t="shared" si="2"/>
        <v>14</v>
      </c>
      <c r="AY48" s="172"/>
      <c r="AZ48" s="165"/>
      <c r="BA48" s="165"/>
      <c r="BB48" s="168">
        <f t="shared" si="1"/>
        <v>14</v>
      </c>
    </row>
    <row r="49" spans="2:54" ht="17.25" customHeight="1">
      <c r="B49" s="106" t="s">
        <v>155</v>
      </c>
      <c r="C49" s="46" t="s">
        <v>86</v>
      </c>
      <c r="D49" s="120"/>
      <c r="E49" s="121">
        <f>BB49</f>
        <v>14</v>
      </c>
      <c r="F49" s="127"/>
      <c r="G49" s="35"/>
      <c r="H49" s="211"/>
      <c r="I49" s="207"/>
      <c r="J49" s="35"/>
      <c r="K49" s="35"/>
      <c r="L49" s="212"/>
      <c r="M49" s="207"/>
      <c r="N49" s="203"/>
      <c r="O49" s="123"/>
      <c r="P49" s="35"/>
      <c r="Q49" s="212"/>
      <c r="R49" s="215">
        <v>14</v>
      </c>
      <c r="S49" s="123"/>
      <c r="T49" s="35"/>
      <c r="U49" s="207"/>
      <c r="V49" s="207"/>
      <c r="W49" s="35"/>
      <c r="X49" s="35"/>
      <c r="Y49" s="207"/>
      <c r="Z49" s="207"/>
      <c r="AA49" s="222"/>
      <c r="AB49" s="222"/>
      <c r="AC49" s="211"/>
      <c r="AD49" s="207"/>
      <c r="AE49" s="129"/>
      <c r="AF49" s="35"/>
      <c r="AG49" s="211"/>
      <c r="AH49" s="207"/>
      <c r="AI49" s="129"/>
      <c r="AJ49" s="35"/>
      <c r="AK49" s="211"/>
      <c r="AL49" s="207"/>
      <c r="AM49" s="129"/>
      <c r="AN49" s="35"/>
      <c r="AO49" s="35"/>
      <c r="AP49" s="35"/>
      <c r="AQ49" s="35"/>
      <c r="AR49" s="35"/>
      <c r="AS49" s="35"/>
      <c r="AT49" s="35"/>
      <c r="AU49" s="35"/>
      <c r="AV49" s="138"/>
      <c r="AW49" s="119">
        <f t="shared" si="2"/>
        <v>14</v>
      </c>
      <c r="AY49" s="166"/>
      <c r="AZ49" s="172"/>
      <c r="BA49" s="165"/>
      <c r="BB49" s="168">
        <f t="shared" si="1"/>
        <v>14</v>
      </c>
    </row>
    <row r="50" spans="2:54" ht="17.25" customHeight="1">
      <c r="B50" s="106" t="s">
        <v>160</v>
      </c>
      <c r="C50" s="107" t="s">
        <v>130</v>
      </c>
      <c r="D50" s="122"/>
      <c r="E50" s="121">
        <f>AW50</f>
        <v>14</v>
      </c>
      <c r="F50" s="125"/>
      <c r="G50" s="35"/>
      <c r="H50" s="209"/>
      <c r="I50" s="207"/>
      <c r="J50" s="38"/>
      <c r="L50" s="210"/>
      <c r="M50" s="207"/>
      <c r="N50" s="203"/>
      <c r="O50" s="123"/>
      <c r="Q50" s="210">
        <v>5.22</v>
      </c>
      <c r="R50" s="207">
        <v>14</v>
      </c>
      <c r="S50" s="38"/>
      <c r="T50" s="38"/>
      <c r="U50" s="209"/>
      <c r="V50" s="209"/>
      <c r="W50" s="38"/>
      <c r="X50" s="38"/>
      <c r="Y50" s="209"/>
      <c r="Z50" s="209"/>
      <c r="AA50" s="224"/>
      <c r="AB50" s="224"/>
      <c r="AC50" s="211"/>
      <c r="AD50" s="209"/>
      <c r="AE50" s="129"/>
      <c r="AF50" s="38"/>
      <c r="AG50" s="211"/>
      <c r="AH50" s="209"/>
      <c r="AI50" s="129"/>
      <c r="AJ50" s="38"/>
      <c r="AK50" s="211"/>
      <c r="AL50" s="209"/>
      <c r="AM50" s="129"/>
      <c r="AN50" s="38"/>
      <c r="AO50" s="38"/>
      <c r="AP50" s="38"/>
      <c r="AQ50" s="38"/>
      <c r="AR50" s="38"/>
      <c r="AS50" s="38"/>
      <c r="AT50" s="38"/>
      <c r="AU50" s="35"/>
      <c r="AV50" s="139"/>
      <c r="AW50" s="119">
        <f t="shared" si="2"/>
        <v>14</v>
      </c>
      <c r="BB50" s="168">
        <f t="shared" si="1"/>
        <v>14</v>
      </c>
    </row>
    <row r="51" spans="2:54" ht="16.5" customHeight="1">
      <c r="B51" s="106" t="s">
        <v>189</v>
      </c>
      <c r="C51" s="46" t="s">
        <v>78</v>
      </c>
      <c r="D51" s="122"/>
      <c r="E51" s="121">
        <f>BB51</f>
        <v>13</v>
      </c>
      <c r="F51" s="123"/>
      <c r="G51" s="35"/>
      <c r="H51" s="209"/>
      <c r="I51" s="209"/>
      <c r="J51" s="38"/>
      <c r="K51" s="38"/>
      <c r="L51" s="209"/>
      <c r="M51" s="209"/>
      <c r="N51" s="205"/>
      <c r="O51" s="123"/>
      <c r="P51" s="38"/>
      <c r="Q51" s="209"/>
      <c r="R51" s="209"/>
      <c r="S51" s="38"/>
      <c r="T51" s="38"/>
      <c r="U51" s="209"/>
      <c r="V51" s="209"/>
      <c r="W51" s="38"/>
      <c r="X51" s="38"/>
      <c r="Y51" s="209"/>
      <c r="Z51" s="207">
        <v>8</v>
      </c>
      <c r="AA51" s="224"/>
      <c r="AB51" s="222">
        <v>5</v>
      </c>
      <c r="AC51" s="209"/>
      <c r="AD51" s="209"/>
      <c r="AE51" s="38"/>
      <c r="AF51" s="38"/>
      <c r="AG51" s="209"/>
      <c r="AH51" s="209"/>
      <c r="AI51" s="38"/>
      <c r="AJ51" s="38"/>
      <c r="AK51" s="209"/>
      <c r="AL51" s="209"/>
      <c r="AM51" s="38"/>
      <c r="AN51" s="38"/>
      <c r="AO51" s="38"/>
      <c r="AP51" s="38"/>
      <c r="AQ51" s="38"/>
      <c r="AR51" s="38"/>
      <c r="AS51" s="38"/>
      <c r="AT51" s="38"/>
      <c r="AU51" s="38"/>
      <c r="AV51" s="140"/>
      <c r="AW51" s="119">
        <f t="shared" si="2"/>
        <v>13</v>
      </c>
      <c r="AY51" s="166"/>
      <c r="AZ51" s="163"/>
      <c r="BA51" s="165"/>
      <c r="BB51" s="168">
        <f t="shared" si="1"/>
        <v>13</v>
      </c>
    </row>
    <row r="52" spans="2:54" ht="17.25" customHeight="1">
      <c r="B52" s="106" t="s">
        <v>192</v>
      </c>
      <c r="C52" s="107" t="s">
        <v>159</v>
      </c>
      <c r="D52" s="122"/>
      <c r="E52" s="121">
        <f>AW52</f>
        <v>5</v>
      </c>
      <c r="F52" s="123"/>
      <c r="G52" s="35"/>
      <c r="H52" s="209"/>
      <c r="I52" s="209"/>
      <c r="J52" s="38"/>
      <c r="L52" s="214" t="s">
        <v>133</v>
      </c>
      <c r="M52" s="207">
        <v>5</v>
      </c>
      <c r="N52" s="203"/>
      <c r="O52" s="123"/>
      <c r="P52" s="128"/>
      <c r="Q52" s="212"/>
      <c r="R52" s="207"/>
      <c r="S52" s="38"/>
      <c r="T52" s="38"/>
      <c r="U52" s="209"/>
      <c r="V52" s="209"/>
      <c r="W52" s="38"/>
      <c r="X52" s="38"/>
      <c r="Y52" s="209"/>
      <c r="Z52" s="209"/>
      <c r="AA52" s="224"/>
      <c r="AB52" s="224"/>
      <c r="AC52" s="209"/>
      <c r="AD52" s="209"/>
      <c r="AE52" s="38"/>
      <c r="AF52" s="38"/>
      <c r="AG52" s="209"/>
      <c r="AH52" s="209"/>
      <c r="AI52" s="38"/>
      <c r="AJ52" s="38"/>
      <c r="AK52" s="209"/>
      <c r="AL52" s="209"/>
      <c r="AM52" s="38"/>
      <c r="AN52" s="38"/>
      <c r="AO52" s="38"/>
      <c r="AP52" s="38"/>
      <c r="AQ52" s="38"/>
      <c r="AR52" s="38"/>
      <c r="AS52" s="38"/>
      <c r="AT52" s="38"/>
      <c r="AU52" s="35"/>
      <c r="AV52" s="138"/>
      <c r="AW52" s="119">
        <f t="shared" si="2"/>
        <v>5</v>
      </c>
      <c r="BB52" s="168">
        <f t="shared" si="1"/>
        <v>5</v>
      </c>
    </row>
    <row r="53" spans="2:54" ht="17.25" customHeight="1">
      <c r="B53" s="106" t="s">
        <v>199</v>
      </c>
      <c r="C53" s="116" t="s">
        <v>157</v>
      </c>
      <c r="D53" s="115"/>
      <c r="E53" s="48">
        <f>AW53</f>
        <v>0</v>
      </c>
      <c r="F53" s="182"/>
      <c r="G53" s="49"/>
      <c r="H53" s="115"/>
      <c r="I53" s="115"/>
      <c r="J53" s="115"/>
      <c r="K53" s="115"/>
      <c r="L53" s="115"/>
      <c r="M53" s="115"/>
      <c r="N53" s="124"/>
      <c r="O53" s="124"/>
      <c r="P53" s="49"/>
      <c r="Q53" s="124"/>
      <c r="R53" s="49"/>
      <c r="S53" s="124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136"/>
      <c r="AW53" s="119">
        <f t="shared" si="2"/>
        <v>0</v>
      </c>
      <c r="AX53" s="176"/>
      <c r="AY53" s="176"/>
      <c r="AZ53" s="176"/>
      <c r="BA53" s="176"/>
      <c r="BB53" s="177">
        <f t="shared" si="1"/>
        <v>0</v>
      </c>
    </row>
    <row r="54" spans="2:54" ht="17.25" customHeight="1">
      <c r="B54" s="106" t="s">
        <v>239</v>
      </c>
      <c r="C54" s="107" t="s">
        <v>156</v>
      </c>
      <c r="D54" s="122"/>
      <c r="E54" s="121">
        <f>AW54</f>
        <v>0</v>
      </c>
      <c r="F54" s="181"/>
      <c r="H54" s="209"/>
      <c r="I54" s="209"/>
      <c r="J54" s="38"/>
      <c r="L54" s="209"/>
      <c r="M54" s="213"/>
      <c r="N54" s="206"/>
      <c r="O54" s="36"/>
      <c r="Q54" s="210"/>
      <c r="R54" s="207"/>
      <c r="S54" s="38"/>
      <c r="T54" s="38"/>
      <c r="U54" s="209"/>
      <c r="V54" s="209"/>
      <c r="W54" s="38"/>
      <c r="X54" s="38"/>
      <c r="Y54" s="209"/>
      <c r="Z54" s="209"/>
      <c r="AA54" s="224"/>
      <c r="AB54" s="224"/>
      <c r="AC54" s="209"/>
      <c r="AD54" s="209"/>
      <c r="AE54" s="38"/>
      <c r="AF54" s="38"/>
      <c r="AG54" s="209"/>
      <c r="AH54" s="209"/>
      <c r="AI54" s="38"/>
      <c r="AJ54" s="38"/>
      <c r="AK54" s="209"/>
      <c r="AL54" s="209"/>
      <c r="AM54" s="38"/>
      <c r="AN54" s="38"/>
      <c r="AO54" s="38"/>
      <c r="AP54" s="38"/>
      <c r="AQ54" s="38"/>
      <c r="AR54" s="38"/>
      <c r="AS54" s="38"/>
      <c r="AT54" s="38"/>
      <c r="AU54" s="38"/>
      <c r="AV54" s="139"/>
      <c r="AW54" s="119">
        <f t="shared" si="2"/>
        <v>0</v>
      </c>
      <c r="BB54" s="168">
        <f t="shared" si="1"/>
        <v>0</v>
      </c>
    </row>
    <row r="55" spans="2:54" ht="12.75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7"/>
      <c r="N55" s="117"/>
      <c r="O55" s="117"/>
      <c r="P55" s="117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7"/>
      <c r="AW55" s="117"/>
      <c r="AX55" s="178"/>
      <c r="AY55" s="178"/>
      <c r="AZ55" s="178"/>
      <c r="BA55" s="178"/>
      <c r="BB55" s="178"/>
    </row>
    <row r="56" spans="2:54" ht="12.75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7"/>
      <c r="N56" s="117"/>
      <c r="O56" s="117"/>
      <c r="P56" s="117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7"/>
      <c r="AW56" s="141">
        <f>SUM(AW11:AW53)</f>
        <v>3156.5535999999993</v>
      </c>
      <c r="AX56" s="178"/>
      <c r="AY56" s="178"/>
      <c r="AZ56" s="178"/>
      <c r="BA56" s="178"/>
      <c r="BB56" s="178"/>
    </row>
    <row r="59" spans="2:16" ht="12.75">
      <c r="B59" s="36" t="s">
        <v>131</v>
      </c>
      <c r="C59" s="252" t="s">
        <v>132</v>
      </c>
      <c r="D59" s="252"/>
      <c r="E59" s="252"/>
      <c r="F59" s="252"/>
      <c r="G59" s="252"/>
      <c r="H59" s="252"/>
      <c r="I59" s="252"/>
      <c r="J59" s="252"/>
      <c r="K59" s="252"/>
      <c r="L59" s="157"/>
      <c r="M59" s="158"/>
      <c r="N59" s="158"/>
      <c r="O59" s="158"/>
      <c r="P59" s="158"/>
    </row>
    <row r="60" spans="3:16" ht="12.75">
      <c r="C60" s="277" t="s">
        <v>143</v>
      </c>
      <c r="D60" s="277"/>
      <c r="E60" s="277"/>
      <c r="F60" s="277"/>
      <c r="G60" s="277"/>
      <c r="H60" s="277"/>
      <c r="I60" s="277"/>
      <c r="J60" s="277"/>
      <c r="K60" s="277"/>
      <c r="L60" s="159"/>
      <c r="M60" s="160"/>
      <c r="N60" s="160"/>
      <c r="O60" s="160"/>
      <c r="P60" s="160"/>
    </row>
    <row r="61" spans="3:11" ht="13.5" thickBot="1">
      <c r="C61" s="60"/>
      <c r="D61" s="60"/>
      <c r="E61" s="60"/>
      <c r="F61" s="60"/>
      <c r="G61" s="60"/>
      <c r="H61" s="60"/>
      <c r="I61" s="60"/>
      <c r="J61" s="60"/>
      <c r="K61" s="60"/>
    </row>
    <row r="62" spans="2:16" ht="12.75">
      <c r="B62" s="193"/>
      <c r="C62" s="187" t="s">
        <v>163</v>
      </c>
      <c r="D62" s="187"/>
      <c r="E62" s="187"/>
      <c r="F62" s="187"/>
      <c r="G62" s="187"/>
      <c r="H62" s="187"/>
      <c r="I62" s="189"/>
      <c r="J62" s="189"/>
      <c r="K62" s="189"/>
      <c r="L62" s="191"/>
      <c r="M62" s="183"/>
      <c r="N62" s="183"/>
      <c r="O62" s="183"/>
      <c r="P62" s="184"/>
    </row>
    <row r="63" spans="2:16" ht="13.5" thickBot="1">
      <c r="B63" s="194"/>
      <c r="C63" s="188" t="s">
        <v>148</v>
      </c>
      <c r="D63" s="188"/>
      <c r="E63" s="188"/>
      <c r="F63" s="188"/>
      <c r="G63" s="188"/>
      <c r="H63" s="188"/>
      <c r="I63" s="190"/>
      <c r="J63" s="190"/>
      <c r="K63" s="190"/>
      <c r="L63" s="192"/>
      <c r="M63" s="185"/>
      <c r="N63" s="185"/>
      <c r="O63" s="185"/>
      <c r="P63" s="186"/>
    </row>
  </sheetData>
  <sheetProtection/>
  <mergeCells count="55">
    <mergeCell ref="AE7:AF7"/>
    <mergeCell ref="AE8:AF8"/>
    <mergeCell ref="AG6:AH6"/>
    <mergeCell ref="AG7:AH7"/>
    <mergeCell ref="AK7:AL7"/>
    <mergeCell ref="AK8:AL8"/>
    <mergeCell ref="AM6:AN6"/>
    <mergeCell ref="AM7:AN7"/>
    <mergeCell ref="AM8:AN8"/>
    <mergeCell ref="AG8:AH8"/>
    <mergeCell ref="L8:M8"/>
    <mergeCell ref="L7:M7"/>
    <mergeCell ref="AI6:AJ6"/>
    <mergeCell ref="AI7:AJ7"/>
    <mergeCell ref="AI8:AJ8"/>
    <mergeCell ref="S8:T8"/>
    <mergeCell ref="O8:P8"/>
    <mergeCell ref="Q8:R8"/>
    <mergeCell ref="S6:T6"/>
    <mergeCell ref="J8:K8"/>
    <mergeCell ref="F6:G6"/>
    <mergeCell ref="C60:K60"/>
    <mergeCell ref="C59:K59"/>
    <mergeCell ref="D9:E9"/>
    <mergeCell ref="D8:E8"/>
    <mergeCell ref="H8:I8"/>
    <mergeCell ref="F8:G8"/>
    <mergeCell ref="B8:C8"/>
    <mergeCell ref="D7:E7"/>
    <mergeCell ref="F7:G7"/>
    <mergeCell ref="J7:K7"/>
    <mergeCell ref="J6:K6"/>
    <mergeCell ref="H7:I7"/>
    <mergeCell ref="AY2:BA2"/>
    <mergeCell ref="B2:AW3"/>
    <mergeCell ref="C4:AV4"/>
    <mergeCell ref="D6:E6"/>
    <mergeCell ref="H6:I6"/>
    <mergeCell ref="S7:T7"/>
    <mergeCell ref="O6:P6"/>
    <mergeCell ref="Q7:R7"/>
    <mergeCell ref="O7:P7"/>
    <mergeCell ref="AE6:AF6"/>
    <mergeCell ref="AK6:AL6"/>
    <mergeCell ref="L6:M6"/>
    <mergeCell ref="AC6:AD6"/>
    <mergeCell ref="Q6:R6"/>
    <mergeCell ref="AC8:AD8"/>
    <mergeCell ref="W7:X7"/>
    <mergeCell ref="W8:X8"/>
    <mergeCell ref="Y6:Z6"/>
    <mergeCell ref="Y7:Z7"/>
    <mergeCell ref="Y8:Z8"/>
    <mergeCell ref="W6:X6"/>
    <mergeCell ref="AC7:AD7"/>
  </mergeCells>
  <printOptions/>
  <pageMargins left="0.1968503937007874" right="0.15748031496062992" top="0.3937007874015748" bottom="0.1968503937007874" header="0.2755905511811024" footer="0.1968503937007874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.140625" style="0" customWidth="1"/>
    <col min="6" max="6" width="9.421875" style="0" bestFit="1" customWidth="1"/>
    <col min="9" max="9" width="9.57421875" style="0" bestFit="1" customWidth="1"/>
    <col min="16" max="16" width="9.57421875" style="0" bestFit="1" customWidth="1"/>
  </cols>
  <sheetData>
    <row r="2" spans="2:14" ht="18">
      <c r="B2" s="282" t="s">
        <v>28</v>
      </c>
      <c r="C2" s="283"/>
      <c r="D2" s="283"/>
      <c r="E2" s="283"/>
      <c r="F2" s="283"/>
      <c r="G2" s="283"/>
      <c r="H2" s="283"/>
      <c r="I2" s="283"/>
      <c r="J2" s="283"/>
      <c r="K2" s="284"/>
      <c r="L2" s="4"/>
      <c r="M2" s="4"/>
      <c r="N2" s="4"/>
    </row>
    <row r="3" spans="12:14" ht="12.75">
      <c r="L3" s="5"/>
      <c r="M3" s="5"/>
      <c r="N3" s="5"/>
    </row>
    <row r="4" spans="2:14" ht="17.25" customHeight="1">
      <c r="B4" s="285" t="s">
        <v>29</v>
      </c>
      <c r="C4" s="286"/>
      <c r="D4" s="286"/>
      <c r="E4" s="286"/>
      <c r="F4" s="287"/>
      <c r="G4" s="288" t="s">
        <v>30</v>
      </c>
      <c r="H4" s="285" t="s">
        <v>31</v>
      </c>
      <c r="I4" s="286"/>
      <c r="J4" s="286"/>
      <c r="K4" s="287"/>
      <c r="L4" s="6"/>
      <c r="M4" s="6"/>
      <c r="N4" s="6"/>
    </row>
    <row r="5" spans="2:14" ht="17.25" customHeight="1">
      <c r="B5" s="291" t="s">
        <v>32</v>
      </c>
      <c r="C5" s="291"/>
      <c r="D5" s="292" t="s">
        <v>33</v>
      </c>
      <c r="E5" s="292"/>
      <c r="F5" s="292"/>
      <c r="G5" s="289"/>
      <c r="H5" s="293" t="s">
        <v>34</v>
      </c>
      <c r="I5" s="293"/>
      <c r="J5" s="293"/>
      <c r="K5" s="293"/>
      <c r="L5" s="6"/>
      <c r="M5" s="6"/>
      <c r="N5" s="6"/>
    </row>
    <row r="6" spans="2:14" ht="18" customHeight="1" thickBot="1">
      <c r="B6" s="294" t="s">
        <v>35</v>
      </c>
      <c r="C6" s="294"/>
      <c r="D6" s="7" t="s">
        <v>36</v>
      </c>
      <c r="E6" s="8" t="s">
        <v>37</v>
      </c>
      <c r="F6" s="9" t="s">
        <v>38</v>
      </c>
      <c r="G6" s="289"/>
      <c r="H6" s="8" t="s">
        <v>37</v>
      </c>
      <c r="I6" s="9" t="s">
        <v>38</v>
      </c>
      <c r="J6" s="10"/>
      <c r="K6" s="7" t="s">
        <v>39</v>
      </c>
      <c r="L6" s="11"/>
      <c r="M6" s="11"/>
      <c r="N6" s="11"/>
    </row>
    <row r="7" spans="2:18" ht="20.25" customHeight="1" thickBot="1" thickTop="1">
      <c r="B7" s="249">
        <v>42.2</v>
      </c>
      <c r="C7" s="249"/>
      <c r="D7" s="12">
        <v>3</v>
      </c>
      <c r="E7" s="12">
        <v>28</v>
      </c>
      <c r="F7" s="12">
        <v>16</v>
      </c>
      <c r="G7" s="290"/>
      <c r="H7" s="12">
        <f>INT(P7/60)</f>
        <v>4</v>
      </c>
      <c r="I7" s="13">
        <f>P7-(60*H7)</f>
        <v>56.113744075829345</v>
      </c>
      <c r="J7" s="14"/>
      <c r="K7" s="15">
        <f>Q7</f>
        <v>12.157490396927018</v>
      </c>
      <c r="L7" s="16"/>
      <c r="M7" s="16"/>
      <c r="N7" s="16"/>
      <c r="O7" s="17">
        <f>D7*3600+E7*60+F7</f>
        <v>12496</v>
      </c>
      <c r="P7" s="18">
        <f>O7/B7</f>
        <v>296.11374407582935</v>
      </c>
      <c r="Q7" s="19">
        <f>3600/P7</f>
        <v>12.157490396927018</v>
      </c>
      <c r="R7" s="3"/>
    </row>
    <row r="8" spans="2:18" ht="24" customHeight="1" thickTop="1">
      <c r="B8" s="80"/>
      <c r="C8" s="80"/>
      <c r="D8" s="81"/>
      <c r="E8" s="81"/>
      <c r="F8" s="81"/>
      <c r="G8" s="82"/>
      <c r="H8" s="81"/>
      <c r="I8" s="83"/>
      <c r="J8" s="14"/>
      <c r="K8" s="16"/>
      <c r="L8" s="16"/>
      <c r="M8" s="16"/>
      <c r="N8" s="16"/>
      <c r="O8" s="17"/>
      <c r="P8" s="18"/>
      <c r="Q8" s="19"/>
      <c r="R8" s="3"/>
    </row>
    <row r="9" spans="2:18" ht="24" customHeight="1">
      <c r="B9" s="147"/>
      <c r="C9" s="147"/>
      <c r="D9" s="148"/>
      <c r="E9" s="148"/>
      <c r="F9" s="148"/>
      <c r="G9" s="149"/>
      <c r="H9" s="148"/>
      <c r="I9" s="150"/>
      <c r="J9" s="151"/>
      <c r="K9" s="152"/>
      <c r="L9" s="16"/>
      <c r="M9" s="16"/>
      <c r="N9" s="16"/>
      <c r="O9" s="17"/>
      <c r="P9" s="18"/>
      <c r="Q9" s="19"/>
      <c r="R9" s="3"/>
    </row>
    <row r="10" spans="2:18" ht="24" customHeight="1">
      <c r="B10" s="80"/>
      <c r="C10" s="80"/>
      <c r="D10" s="81"/>
      <c r="E10" s="81"/>
      <c r="F10" s="81"/>
      <c r="G10" s="82"/>
      <c r="H10" s="81"/>
      <c r="I10" s="83"/>
      <c r="J10" s="14"/>
      <c r="K10" s="16"/>
      <c r="L10" s="16"/>
      <c r="M10" s="16"/>
      <c r="N10" s="16"/>
      <c r="O10" s="17"/>
      <c r="P10" s="18"/>
      <c r="Q10" s="19"/>
      <c r="R10" s="3"/>
    </row>
    <row r="11" spans="2:11" ht="36.75" customHeight="1">
      <c r="B11" s="248" t="s">
        <v>118</v>
      </c>
      <c r="C11" s="248"/>
      <c r="D11" s="21"/>
      <c r="E11" s="21"/>
      <c r="F11" s="21"/>
      <c r="G11" s="22"/>
      <c r="H11" s="22"/>
      <c r="I11" s="22"/>
      <c r="J11" s="22"/>
      <c r="K11" s="22"/>
    </row>
    <row r="12" spans="2:15" ht="50.25" customHeight="1">
      <c r="B12" s="93"/>
      <c r="C12" s="278" t="s">
        <v>106</v>
      </c>
      <c r="D12" s="278"/>
      <c r="E12" s="92"/>
      <c r="F12" s="104">
        <v>4</v>
      </c>
      <c r="G12" s="91"/>
      <c r="H12" s="105">
        <f>3*(INT(F12)*60+(F12-INT(F12))*100)</f>
        <v>720</v>
      </c>
      <c r="I12" s="97" t="s">
        <v>107</v>
      </c>
      <c r="J12" s="97" t="s">
        <v>108</v>
      </c>
      <c r="K12" s="99"/>
      <c r="L12" s="79"/>
      <c r="M12" s="79"/>
      <c r="N12" s="79"/>
      <c r="O12" s="79"/>
    </row>
    <row r="13" spans="2:15" ht="21" customHeight="1">
      <c r="B13" s="279" t="s">
        <v>109</v>
      </c>
      <c r="C13" s="280"/>
      <c r="D13" s="91"/>
      <c r="E13" s="91"/>
      <c r="F13" s="91"/>
      <c r="G13" s="91"/>
      <c r="H13" s="96"/>
      <c r="I13" s="96"/>
      <c r="J13" s="97"/>
      <c r="K13" s="100"/>
      <c r="L13" s="79"/>
      <c r="M13" s="79"/>
      <c r="N13" s="79"/>
      <c r="O13" s="79"/>
    </row>
    <row r="14" spans="2:11" ht="15" customHeight="1">
      <c r="B14" s="94"/>
      <c r="C14" s="250" t="s">
        <v>110</v>
      </c>
      <c r="D14" s="250"/>
      <c r="E14" s="90"/>
      <c r="F14" s="104">
        <v>3.55</v>
      </c>
      <c r="G14" s="90"/>
      <c r="H14" s="105">
        <f>2*(INT(F14)*60+(F14-INT(F14))*100)</f>
        <v>470</v>
      </c>
      <c r="I14" s="97" t="s">
        <v>107</v>
      </c>
      <c r="J14" s="97" t="s">
        <v>111</v>
      </c>
      <c r="K14" s="101"/>
    </row>
    <row r="15" spans="2:11" ht="15">
      <c r="B15" s="94"/>
      <c r="C15" s="89"/>
      <c r="D15" s="90"/>
      <c r="E15" s="90"/>
      <c r="F15" s="90"/>
      <c r="G15" s="90"/>
      <c r="H15" s="90"/>
      <c r="I15" s="90"/>
      <c r="J15" s="90"/>
      <c r="K15" s="102"/>
    </row>
    <row r="16" spans="2:11" ht="15" customHeight="1">
      <c r="B16" s="94"/>
      <c r="C16" s="250" t="s">
        <v>112</v>
      </c>
      <c r="D16" s="250"/>
      <c r="E16" s="90"/>
      <c r="F16" s="95">
        <f>1000/(H12-H14)</f>
        <v>4</v>
      </c>
      <c r="G16" s="98" t="s">
        <v>113</v>
      </c>
      <c r="H16" s="281" t="s">
        <v>114</v>
      </c>
      <c r="I16" s="281"/>
      <c r="J16" s="281"/>
      <c r="K16" s="101"/>
    </row>
    <row r="17" spans="2:11" ht="15.75" thickBot="1">
      <c r="B17" s="94"/>
      <c r="C17" s="88"/>
      <c r="G17" s="84"/>
      <c r="H17" s="84"/>
      <c r="I17" s="84"/>
      <c r="J17" s="84"/>
      <c r="K17" s="103"/>
    </row>
    <row r="18" spans="2:11" ht="19.5" customHeight="1" thickBot="1" thickTop="1">
      <c r="B18" s="94"/>
      <c r="C18" s="250" t="s">
        <v>115</v>
      </c>
      <c r="D18" s="250"/>
      <c r="F18" s="87">
        <f>G19+G20/100</f>
        <v>4.140000000000001</v>
      </c>
      <c r="G18" s="86" t="s">
        <v>116</v>
      </c>
      <c r="H18" s="251" t="s">
        <v>117</v>
      </c>
      <c r="I18" s="251"/>
      <c r="J18" s="251"/>
      <c r="K18" s="103"/>
    </row>
    <row r="19" spans="2:7" ht="15.75" thickTop="1">
      <c r="B19" s="88"/>
      <c r="C19" s="88"/>
      <c r="F19" s="85">
        <f>1000/F16</f>
        <v>250</v>
      </c>
      <c r="G19" s="85">
        <f>INT(F19/60)</f>
        <v>4</v>
      </c>
    </row>
    <row r="20" spans="2:7" ht="15">
      <c r="B20" s="88"/>
      <c r="C20" s="88"/>
      <c r="F20" s="85"/>
      <c r="G20" s="85">
        <f>G19+(F19/60-G19)*60</f>
        <v>14.000000000000018</v>
      </c>
    </row>
    <row r="21" spans="2:11" ht="12.75">
      <c r="B21" s="78"/>
      <c r="C21" s="78"/>
      <c r="K21" s="36"/>
    </row>
    <row r="24" spans="8:13" ht="12.75">
      <c r="H24" s="23"/>
      <c r="I24" s="23"/>
      <c r="J24" s="23"/>
      <c r="K24" s="23"/>
      <c r="L24" s="23"/>
      <c r="M24" s="23"/>
    </row>
    <row r="25" spans="8:13" ht="12.75">
      <c r="H25" s="23"/>
      <c r="I25" s="23"/>
      <c r="J25" s="23"/>
      <c r="K25" s="23"/>
      <c r="L25" s="23"/>
      <c r="M25" s="23"/>
    </row>
    <row r="26" spans="8:13" ht="12.75">
      <c r="H26" s="23"/>
      <c r="I26" s="23"/>
      <c r="J26" s="23"/>
      <c r="K26" s="23"/>
      <c r="L26" s="23"/>
      <c r="M26" s="23"/>
    </row>
    <row r="27" spans="8:13" ht="12.75">
      <c r="H27" s="23"/>
      <c r="I27" s="23"/>
      <c r="J27" s="23"/>
      <c r="K27" s="23"/>
      <c r="L27" s="23"/>
      <c r="M27" s="23"/>
    </row>
    <row r="28" spans="8:13" ht="12.75">
      <c r="H28" s="23"/>
      <c r="I28" s="23"/>
      <c r="J28" s="23"/>
      <c r="K28" s="23"/>
      <c r="L28" s="23"/>
      <c r="M28" s="23"/>
    </row>
    <row r="29" spans="8:13" ht="12.75">
      <c r="H29" s="23"/>
      <c r="I29" s="23"/>
      <c r="J29" s="23"/>
      <c r="K29" s="23"/>
      <c r="L29" s="23"/>
      <c r="M29" s="23"/>
    </row>
    <row r="30" spans="8:13" ht="12.75">
      <c r="H30" s="23"/>
      <c r="I30" s="23"/>
      <c r="J30" s="23"/>
      <c r="K30" s="23"/>
      <c r="L30" s="23"/>
      <c r="M30" s="23"/>
    </row>
  </sheetData>
  <sheetProtection/>
  <mergeCells count="17">
    <mergeCell ref="B2:K2"/>
    <mergeCell ref="B4:F4"/>
    <mergeCell ref="G4:G7"/>
    <mergeCell ref="H4:K4"/>
    <mergeCell ref="B5:C5"/>
    <mergeCell ref="D5:F5"/>
    <mergeCell ref="H5:K5"/>
    <mergeCell ref="B6:C6"/>
    <mergeCell ref="B11:C11"/>
    <mergeCell ref="B7:C7"/>
    <mergeCell ref="C18:D18"/>
    <mergeCell ref="H18:J18"/>
    <mergeCell ref="C12:D12"/>
    <mergeCell ref="C14:D14"/>
    <mergeCell ref="C16:D16"/>
    <mergeCell ref="B13:C13"/>
    <mergeCell ref="H16:J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94">
      <selection activeCell="K83" sqref="K83"/>
    </sheetView>
  </sheetViews>
  <sheetFormatPr defaultColWidth="9.140625" defaultRowHeight="12.75"/>
  <cols>
    <col min="1" max="8" width="14.57421875" style="0" customWidth="1"/>
    <col min="10" max="10" width="14.8515625" style="0" customWidth="1"/>
  </cols>
  <sheetData>
    <row r="1" spans="1:8" ht="20.25">
      <c r="A1" s="295" t="s">
        <v>80</v>
      </c>
      <c r="B1" s="296"/>
      <c r="C1" s="295" t="s">
        <v>81</v>
      </c>
      <c r="D1" s="296"/>
      <c r="E1" s="295" t="s">
        <v>83</v>
      </c>
      <c r="F1" s="296"/>
      <c r="G1" s="295" t="s">
        <v>82</v>
      </c>
      <c r="H1" s="296"/>
    </row>
    <row r="2" spans="1:8" ht="24.75" customHeight="1">
      <c r="A2" s="2" t="s">
        <v>68</v>
      </c>
      <c r="B2" s="2" t="s">
        <v>69</v>
      </c>
      <c r="C2" s="2" t="s">
        <v>68</v>
      </c>
      <c r="D2" s="2" t="s">
        <v>69</v>
      </c>
      <c r="E2" s="2" t="s">
        <v>68</v>
      </c>
      <c r="F2" s="2" t="s">
        <v>69</v>
      </c>
      <c r="G2" s="2" t="s">
        <v>68</v>
      </c>
      <c r="H2" s="2" t="s">
        <v>69</v>
      </c>
    </row>
    <row r="3" spans="1:8" ht="15">
      <c r="A3" s="31">
        <v>3</v>
      </c>
      <c r="B3" s="32">
        <v>1.72</v>
      </c>
      <c r="C3" s="33">
        <v>3.3</v>
      </c>
      <c r="D3" s="34">
        <f>1.72</f>
        <v>1.72</v>
      </c>
      <c r="E3" s="39">
        <v>3.3</v>
      </c>
      <c r="F3" s="40">
        <f>1.72</f>
        <v>1.72</v>
      </c>
      <c r="G3" s="41">
        <v>4</v>
      </c>
      <c r="H3" s="42">
        <f>1.72</f>
        <v>1.72</v>
      </c>
    </row>
    <row r="4" spans="1:8" ht="15">
      <c r="A4" s="31">
        <f>A3+0.01</f>
        <v>3.01</v>
      </c>
      <c r="B4" s="32">
        <f>B3-0.006</f>
        <v>1.714</v>
      </c>
      <c r="C4" s="33">
        <f>C3+0.01</f>
        <v>3.3099999999999996</v>
      </c>
      <c r="D4" s="34">
        <f>D3-0.006</f>
        <v>1.714</v>
      </c>
      <c r="E4" s="39">
        <f>E3+0.01</f>
        <v>3.3099999999999996</v>
      </c>
      <c r="F4" s="40">
        <f>F3-0.006</f>
        <v>1.714</v>
      </c>
      <c r="G4" s="41">
        <f aca="true" t="shared" si="0" ref="G4:G32">G3+0.01</f>
        <v>4.01</v>
      </c>
      <c r="H4" s="42">
        <f>H3-0.006</f>
        <v>1.714</v>
      </c>
    </row>
    <row r="5" spans="1:8" ht="15">
      <c r="A5" s="31">
        <f aca="true" t="shared" si="1" ref="A5:A62">A4+0.01</f>
        <v>3.0199999999999996</v>
      </c>
      <c r="B5" s="32">
        <f aca="true" t="shared" si="2" ref="B5:B68">B4-0.006</f>
        <v>1.708</v>
      </c>
      <c r="C5" s="33">
        <f aca="true" t="shared" si="3" ref="C5:E68">C4+0.01</f>
        <v>3.3199999999999994</v>
      </c>
      <c r="D5" s="34">
        <f aca="true" t="shared" si="4" ref="D5:D68">D4-0.006</f>
        <v>1.708</v>
      </c>
      <c r="E5" s="39">
        <f t="shared" si="3"/>
        <v>3.3199999999999994</v>
      </c>
      <c r="F5" s="40">
        <f aca="true" t="shared" si="5" ref="F5:F68">F4-0.006</f>
        <v>1.708</v>
      </c>
      <c r="G5" s="41">
        <f t="shared" si="0"/>
        <v>4.02</v>
      </c>
      <c r="H5" s="42">
        <f aca="true" t="shared" si="6" ref="H5:H68">H4-0.006</f>
        <v>1.708</v>
      </c>
    </row>
    <row r="6" spans="1:8" ht="15">
      <c r="A6" s="31">
        <f t="shared" si="1"/>
        <v>3.0299999999999994</v>
      </c>
      <c r="B6" s="32">
        <f t="shared" si="2"/>
        <v>1.702</v>
      </c>
      <c r="C6" s="33">
        <f t="shared" si="3"/>
        <v>3.329999999999999</v>
      </c>
      <c r="D6" s="34">
        <f t="shared" si="4"/>
        <v>1.702</v>
      </c>
      <c r="E6" s="39">
        <f t="shared" si="3"/>
        <v>3.329999999999999</v>
      </c>
      <c r="F6" s="40">
        <f t="shared" si="5"/>
        <v>1.702</v>
      </c>
      <c r="G6" s="41">
        <f t="shared" si="0"/>
        <v>4.029999999999999</v>
      </c>
      <c r="H6" s="42">
        <f t="shared" si="6"/>
        <v>1.702</v>
      </c>
    </row>
    <row r="7" spans="1:8" ht="15">
      <c r="A7" s="31">
        <f t="shared" si="1"/>
        <v>3.039999999999999</v>
      </c>
      <c r="B7" s="32">
        <f t="shared" si="2"/>
        <v>1.696</v>
      </c>
      <c r="C7" s="33">
        <f t="shared" si="3"/>
        <v>3.339999999999999</v>
      </c>
      <c r="D7" s="34">
        <f t="shared" si="4"/>
        <v>1.696</v>
      </c>
      <c r="E7" s="39">
        <f t="shared" si="3"/>
        <v>3.339999999999999</v>
      </c>
      <c r="F7" s="40">
        <f t="shared" si="5"/>
        <v>1.696</v>
      </c>
      <c r="G7" s="41">
        <f t="shared" si="0"/>
        <v>4.039999999999999</v>
      </c>
      <c r="H7" s="42">
        <f t="shared" si="6"/>
        <v>1.696</v>
      </c>
    </row>
    <row r="8" spans="1:8" ht="15">
      <c r="A8" s="31">
        <f t="shared" si="1"/>
        <v>3.049999999999999</v>
      </c>
      <c r="B8" s="32">
        <f t="shared" si="2"/>
        <v>1.69</v>
      </c>
      <c r="C8" s="33">
        <f t="shared" si="3"/>
        <v>3.3499999999999988</v>
      </c>
      <c r="D8" s="34">
        <f t="shared" si="4"/>
        <v>1.69</v>
      </c>
      <c r="E8" s="39">
        <f t="shared" si="3"/>
        <v>3.3499999999999988</v>
      </c>
      <c r="F8" s="40">
        <f t="shared" si="5"/>
        <v>1.69</v>
      </c>
      <c r="G8" s="41">
        <f t="shared" si="0"/>
        <v>4.049999999999999</v>
      </c>
      <c r="H8" s="42">
        <f t="shared" si="6"/>
        <v>1.69</v>
      </c>
    </row>
    <row r="9" spans="1:8" ht="15">
      <c r="A9" s="31">
        <f t="shared" si="1"/>
        <v>3.0599999999999987</v>
      </c>
      <c r="B9" s="32">
        <f t="shared" si="2"/>
        <v>1.684</v>
      </c>
      <c r="C9" s="33">
        <f t="shared" si="3"/>
        <v>3.3599999999999985</v>
      </c>
      <c r="D9" s="34">
        <f t="shared" si="4"/>
        <v>1.684</v>
      </c>
      <c r="E9" s="39">
        <f t="shared" si="3"/>
        <v>3.3599999999999985</v>
      </c>
      <c r="F9" s="40">
        <f t="shared" si="5"/>
        <v>1.684</v>
      </c>
      <c r="G9" s="41">
        <f t="shared" si="0"/>
        <v>4.059999999999999</v>
      </c>
      <c r="H9" s="42">
        <f t="shared" si="6"/>
        <v>1.684</v>
      </c>
    </row>
    <row r="10" spans="1:8" ht="15">
      <c r="A10" s="31">
        <f t="shared" si="1"/>
        <v>3.0699999999999985</v>
      </c>
      <c r="B10" s="32">
        <f t="shared" si="2"/>
        <v>1.678</v>
      </c>
      <c r="C10" s="33">
        <f t="shared" si="3"/>
        <v>3.3699999999999983</v>
      </c>
      <c r="D10" s="34">
        <f t="shared" si="4"/>
        <v>1.678</v>
      </c>
      <c r="E10" s="39">
        <f t="shared" si="3"/>
        <v>3.3699999999999983</v>
      </c>
      <c r="F10" s="40">
        <f t="shared" si="5"/>
        <v>1.678</v>
      </c>
      <c r="G10" s="41">
        <f t="shared" si="0"/>
        <v>4.0699999999999985</v>
      </c>
      <c r="H10" s="42">
        <f t="shared" si="6"/>
        <v>1.678</v>
      </c>
    </row>
    <row r="11" spans="1:8" ht="15">
      <c r="A11" s="31">
        <f t="shared" si="1"/>
        <v>3.0799999999999983</v>
      </c>
      <c r="B11" s="32">
        <f t="shared" si="2"/>
        <v>1.672</v>
      </c>
      <c r="C11" s="33">
        <f t="shared" si="3"/>
        <v>3.379999999999998</v>
      </c>
      <c r="D11" s="34">
        <f t="shared" si="4"/>
        <v>1.672</v>
      </c>
      <c r="E11" s="39">
        <f t="shared" si="3"/>
        <v>3.379999999999998</v>
      </c>
      <c r="F11" s="40">
        <f t="shared" si="5"/>
        <v>1.672</v>
      </c>
      <c r="G11" s="41">
        <f t="shared" si="0"/>
        <v>4.079999999999998</v>
      </c>
      <c r="H11" s="42">
        <f t="shared" si="6"/>
        <v>1.672</v>
      </c>
    </row>
    <row r="12" spans="1:8" ht="15">
      <c r="A12" s="31">
        <f t="shared" si="1"/>
        <v>3.089999999999998</v>
      </c>
      <c r="B12" s="32">
        <f t="shared" si="2"/>
        <v>1.666</v>
      </c>
      <c r="C12" s="33">
        <f t="shared" si="3"/>
        <v>3.389999999999998</v>
      </c>
      <c r="D12" s="34">
        <f t="shared" si="4"/>
        <v>1.666</v>
      </c>
      <c r="E12" s="39">
        <f t="shared" si="3"/>
        <v>3.389999999999998</v>
      </c>
      <c r="F12" s="40">
        <f t="shared" si="5"/>
        <v>1.666</v>
      </c>
      <c r="G12" s="41">
        <f t="shared" si="0"/>
        <v>4.089999999999998</v>
      </c>
      <c r="H12" s="42">
        <f t="shared" si="6"/>
        <v>1.666</v>
      </c>
    </row>
    <row r="13" spans="1:8" ht="15">
      <c r="A13" s="31">
        <f t="shared" si="1"/>
        <v>3.099999999999998</v>
      </c>
      <c r="B13" s="32">
        <f t="shared" si="2"/>
        <v>1.66</v>
      </c>
      <c r="C13" s="33">
        <f t="shared" si="3"/>
        <v>3.3999999999999977</v>
      </c>
      <c r="D13" s="34">
        <f t="shared" si="4"/>
        <v>1.66</v>
      </c>
      <c r="E13" s="39">
        <f t="shared" si="3"/>
        <v>3.3999999999999977</v>
      </c>
      <c r="F13" s="40">
        <f t="shared" si="5"/>
        <v>1.66</v>
      </c>
      <c r="G13" s="41">
        <f t="shared" si="0"/>
        <v>4.099999999999998</v>
      </c>
      <c r="H13" s="42">
        <f t="shared" si="6"/>
        <v>1.66</v>
      </c>
    </row>
    <row r="14" spans="1:8" ht="15">
      <c r="A14" s="31">
        <f t="shared" si="1"/>
        <v>3.1099999999999977</v>
      </c>
      <c r="B14" s="32">
        <f t="shared" si="2"/>
        <v>1.654</v>
      </c>
      <c r="C14" s="33">
        <f t="shared" si="3"/>
        <v>3.4099999999999975</v>
      </c>
      <c r="D14" s="34">
        <f t="shared" si="4"/>
        <v>1.654</v>
      </c>
      <c r="E14" s="39">
        <f t="shared" si="3"/>
        <v>3.4099999999999975</v>
      </c>
      <c r="F14" s="40">
        <f t="shared" si="5"/>
        <v>1.654</v>
      </c>
      <c r="G14" s="41">
        <f t="shared" si="0"/>
        <v>4.109999999999998</v>
      </c>
      <c r="H14" s="42">
        <f t="shared" si="6"/>
        <v>1.654</v>
      </c>
    </row>
    <row r="15" spans="1:8" ht="15">
      <c r="A15" s="31">
        <f t="shared" si="1"/>
        <v>3.1199999999999974</v>
      </c>
      <c r="B15" s="32">
        <f t="shared" si="2"/>
        <v>1.648</v>
      </c>
      <c r="C15" s="33">
        <f t="shared" si="3"/>
        <v>3.4199999999999973</v>
      </c>
      <c r="D15" s="34">
        <f t="shared" si="4"/>
        <v>1.648</v>
      </c>
      <c r="E15" s="39">
        <f t="shared" si="3"/>
        <v>3.4199999999999973</v>
      </c>
      <c r="F15" s="40">
        <f t="shared" si="5"/>
        <v>1.648</v>
      </c>
      <c r="G15" s="41">
        <f t="shared" si="0"/>
        <v>4.119999999999997</v>
      </c>
      <c r="H15" s="42">
        <f t="shared" si="6"/>
        <v>1.648</v>
      </c>
    </row>
    <row r="16" spans="1:8" ht="15">
      <c r="A16" s="31">
        <f t="shared" si="1"/>
        <v>3.1299999999999972</v>
      </c>
      <c r="B16" s="32">
        <f t="shared" si="2"/>
        <v>1.642</v>
      </c>
      <c r="C16" s="33">
        <f t="shared" si="3"/>
        <v>3.429999999999997</v>
      </c>
      <c r="D16" s="34">
        <f t="shared" si="4"/>
        <v>1.642</v>
      </c>
      <c r="E16" s="39">
        <f t="shared" si="3"/>
        <v>3.429999999999997</v>
      </c>
      <c r="F16" s="40">
        <f t="shared" si="5"/>
        <v>1.642</v>
      </c>
      <c r="G16" s="41">
        <f t="shared" si="0"/>
        <v>4.129999999999997</v>
      </c>
      <c r="H16" s="42">
        <f t="shared" si="6"/>
        <v>1.642</v>
      </c>
    </row>
    <row r="17" spans="1:8" ht="15">
      <c r="A17" s="31">
        <f t="shared" si="1"/>
        <v>3.139999999999997</v>
      </c>
      <c r="B17" s="32">
        <f t="shared" si="2"/>
        <v>1.636</v>
      </c>
      <c r="C17" s="33">
        <f t="shared" si="3"/>
        <v>3.439999999999997</v>
      </c>
      <c r="D17" s="34">
        <f t="shared" si="4"/>
        <v>1.636</v>
      </c>
      <c r="E17" s="39">
        <f t="shared" si="3"/>
        <v>3.439999999999997</v>
      </c>
      <c r="F17" s="40">
        <f t="shared" si="5"/>
        <v>1.636</v>
      </c>
      <c r="G17" s="41">
        <f t="shared" si="0"/>
        <v>4.139999999999997</v>
      </c>
      <c r="H17" s="42">
        <f t="shared" si="6"/>
        <v>1.636</v>
      </c>
    </row>
    <row r="18" spans="1:8" ht="15">
      <c r="A18" s="31">
        <f t="shared" si="1"/>
        <v>3.149999999999997</v>
      </c>
      <c r="B18" s="32">
        <f t="shared" si="2"/>
        <v>1.63</v>
      </c>
      <c r="C18" s="33">
        <f t="shared" si="3"/>
        <v>3.4499999999999966</v>
      </c>
      <c r="D18" s="34">
        <f t="shared" si="4"/>
        <v>1.63</v>
      </c>
      <c r="E18" s="39">
        <f t="shared" si="3"/>
        <v>3.4499999999999966</v>
      </c>
      <c r="F18" s="40">
        <f t="shared" si="5"/>
        <v>1.63</v>
      </c>
      <c r="G18" s="41">
        <f t="shared" si="0"/>
        <v>4.149999999999997</v>
      </c>
      <c r="H18" s="42">
        <f t="shared" si="6"/>
        <v>1.63</v>
      </c>
    </row>
    <row r="19" spans="1:8" ht="15">
      <c r="A19" s="31">
        <f t="shared" si="1"/>
        <v>3.1599999999999966</v>
      </c>
      <c r="B19" s="32">
        <f t="shared" si="2"/>
        <v>1.6239999999999999</v>
      </c>
      <c r="C19" s="33">
        <f t="shared" si="3"/>
        <v>3.4599999999999964</v>
      </c>
      <c r="D19" s="34">
        <f t="shared" si="4"/>
        <v>1.6239999999999999</v>
      </c>
      <c r="E19" s="39">
        <f t="shared" si="3"/>
        <v>3.4599999999999964</v>
      </c>
      <c r="F19" s="40">
        <f t="shared" si="5"/>
        <v>1.6239999999999999</v>
      </c>
      <c r="G19" s="41">
        <f t="shared" si="0"/>
        <v>4.159999999999997</v>
      </c>
      <c r="H19" s="42">
        <f t="shared" si="6"/>
        <v>1.6239999999999999</v>
      </c>
    </row>
    <row r="20" spans="1:8" ht="15">
      <c r="A20" s="31">
        <f t="shared" si="1"/>
        <v>3.1699999999999964</v>
      </c>
      <c r="B20" s="32">
        <f t="shared" si="2"/>
        <v>1.6179999999999999</v>
      </c>
      <c r="C20" s="33">
        <f t="shared" si="3"/>
        <v>3.469999999999996</v>
      </c>
      <c r="D20" s="34">
        <f t="shared" si="4"/>
        <v>1.6179999999999999</v>
      </c>
      <c r="E20" s="39">
        <f t="shared" si="3"/>
        <v>3.469999999999996</v>
      </c>
      <c r="F20" s="40">
        <f t="shared" si="5"/>
        <v>1.6179999999999999</v>
      </c>
      <c r="G20" s="41">
        <f t="shared" si="0"/>
        <v>4.169999999999996</v>
      </c>
      <c r="H20" s="42">
        <f t="shared" si="6"/>
        <v>1.6179999999999999</v>
      </c>
    </row>
    <row r="21" spans="1:8" ht="15">
      <c r="A21" s="31">
        <f t="shared" si="1"/>
        <v>3.179999999999996</v>
      </c>
      <c r="B21" s="32">
        <f t="shared" si="2"/>
        <v>1.6119999999999999</v>
      </c>
      <c r="C21" s="33">
        <f t="shared" si="3"/>
        <v>3.479999999999996</v>
      </c>
      <c r="D21" s="34">
        <f t="shared" si="4"/>
        <v>1.6119999999999999</v>
      </c>
      <c r="E21" s="39">
        <f t="shared" si="3"/>
        <v>3.479999999999996</v>
      </c>
      <c r="F21" s="40">
        <f t="shared" si="5"/>
        <v>1.6119999999999999</v>
      </c>
      <c r="G21" s="41">
        <f t="shared" si="0"/>
        <v>4.179999999999996</v>
      </c>
      <c r="H21" s="42">
        <f t="shared" si="6"/>
        <v>1.6119999999999999</v>
      </c>
    </row>
    <row r="22" spans="1:8" ht="15">
      <c r="A22" s="31">
        <f t="shared" si="1"/>
        <v>3.189999999999996</v>
      </c>
      <c r="B22" s="32">
        <f t="shared" si="2"/>
        <v>1.6059999999999999</v>
      </c>
      <c r="C22" s="33">
        <f t="shared" si="3"/>
        <v>3.4899999999999958</v>
      </c>
      <c r="D22" s="34">
        <f t="shared" si="4"/>
        <v>1.6059999999999999</v>
      </c>
      <c r="E22" s="39">
        <f t="shared" si="3"/>
        <v>3.4899999999999958</v>
      </c>
      <c r="F22" s="40">
        <f t="shared" si="5"/>
        <v>1.6059999999999999</v>
      </c>
      <c r="G22" s="41">
        <f t="shared" si="0"/>
        <v>4.189999999999996</v>
      </c>
      <c r="H22" s="42">
        <f t="shared" si="6"/>
        <v>1.6059999999999999</v>
      </c>
    </row>
    <row r="23" spans="1:8" ht="15">
      <c r="A23" s="31">
        <f t="shared" si="1"/>
        <v>3.1999999999999957</v>
      </c>
      <c r="B23" s="32">
        <f t="shared" si="2"/>
        <v>1.5999999999999999</v>
      </c>
      <c r="C23" s="33">
        <f t="shared" si="3"/>
        <v>3.4999999999999956</v>
      </c>
      <c r="D23" s="34">
        <f t="shared" si="4"/>
        <v>1.5999999999999999</v>
      </c>
      <c r="E23" s="39">
        <f t="shared" si="3"/>
        <v>3.4999999999999956</v>
      </c>
      <c r="F23" s="40">
        <f t="shared" si="5"/>
        <v>1.5999999999999999</v>
      </c>
      <c r="G23" s="41">
        <f t="shared" si="0"/>
        <v>4.199999999999996</v>
      </c>
      <c r="H23" s="42">
        <f t="shared" si="6"/>
        <v>1.5999999999999999</v>
      </c>
    </row>
    <row r="24" spans="1:8" ht="15">
      <c r="A24" s="31">
        <f t="shared" si="1"/>
        <v>3.2099999999999955</v>
      </c>
      <c r="B24" s="32">
        <f t="shared" si="2"/>
        <v>1.5939999999999999</v>
      </c>
      <c r="C24" s="33">
        <f t="shared" si="3"/>
        <v>3.5099999999999953</v>
      </c>
      <c r="D24" s="34">
        <f t="shared" si="4"/>
        <v>1.5939999999999999</v>
      </c>
      <c r="E24" s="39">
        <f t="shared" si="3"/>
        <v>3.5099999999999953</v>
      </c>
      <c r="F24" s="40">
        <f t="shared" si="5"/>
        <v>1.5939999999999999</v>
      </c>
      <c r="G24" s="41">
        <f t="shared" si="0"/>
        <v>4.2099999999999955</v>
      </c>
      <c r="H24" s="42">
        <f t="shared" si="6"/>
        <v>1.5939999999999999</v>
      </c>
    </row>
    <row r="25" spans="1:8" ht="15">
      <c r="A25" s="31">
        <f t="shared" si="1"/>
        <v>3.2199999999999953</v>
      </c>
      <c r="B25" s="32">
        <f t="shared" si="2"/>
        <v>1.5879999999999999</v>
      </c>
      <c r="C25" s="33">
        <f t="shared" si="3"/>
        <v>3.519999999999995</v>
      </c>
      <c r="D25" s="34">
        <f t="shared" si="4"/>
        <v>1.5879999999999999</v>
      </c>
      <c r="E25" s="39">
        <f t="shared" si="3"/>
        <v>3.519999999999995</v>
      </c>
      <c r="F25" s="40">
        <f t="shared" si="5"/>
        <v>1.5879999999999999</v>
      </c>
      <c r="G25" s="41">
        <f t="shared" si="0"/>
        <v>4.219999999999995</v>
      </c>
      <c r="H25" s="42">
        <f t="shared" si="6"/>
        <v>1.5879999999999999</v>
      </c>
    </row>
    <row r="26" spans="1:8" ht="15">
      <c r="A26" s="31">
        <f t="shared" si="1"/>
        <v>3.229999999999995</v>
      </c>
      <c r="B26" s="32">
        <f t="shared" si="2"/>
        <v>1.5819999999999999</v>
      </c>
      <c r="C26" s="33">
        <f t="shared" si="3"/>
        <v>3.529999999999995</v>
      </c>
      <c r="D26" s="34">
        <f t="shared" si="4"/>
        <v>1.5819999999999999</v>
      </c>
      <c r="E26" s="39">
        <f t="shared" si="3"/>
        <v>3.529999999999995</v>
      </c>
      <c r="F26" s="40">
        <f t="shared" si="5"/>
        <v>1.5819999999999999</v>
      </c>
      <c r="G26" s="41">
        <f t="shared" si="0"/>
        <v>4.229999999999995</v>
      </c>
      <c r="H26" s="42">
        <f t="shared" si="6"/>
        <v>1.5819999999999999</v>
      </c>
    </row>
    <row r="27" spans="1:8" ht="15">
      <c r="A27" s="31">
        <f t="shared" si="1"/>
        <v>3.239999999999995</v>
      </c>
      <c r="B27" s="32">
        <f t="shared" si="2"/>
        <v>1.5759999999999998</v>
      </c>
      <c r="C27" s="33">
        <f t="shared" si="3"/>
        <v>3.5399999999999947</v>
      </c>
      <c r="D27" s="34">
        <f t="shared" si="4"/>
        <v>1.5759999999999998</v>
      </c>
      <c r="E27" s="39">
        <f t="shared" si="3"/>
        <v>3.5399999999999947</v>
      </c>
      <c r="F27" s="40">
        <f t="shared" si="5"/>
        <v>1.5759999999999998</v>
      </c>
      <c r="G27" s="41">
        <f t="shared" si="0"/>
        <v>4.239999999999995</v>
      </c>
      <c r="H27" s="42">
        <f t="shared" si="6"/>
        <v>1.5759999999999998</v>
      </c>
    </row>
    <row r="28" spans="1:8" ht="15">
      <c r="A28" s="31">
        <f t="shared" si="1"/>
        <v>3.2499999999999947</v>
      </c>
      <c r="B28" s="32">
        <f t="shared" si="2"/>
        <v>1.5699999999999998</v>
      </c>
      <c r="C28" s="33">
        <f t="shared" si="3"/>
        <v>3.5499999999999945</v>
      </c>
      <c r="D28" s="34">
        <f t="shared" si="4"/>
        <v>1.5699999999999998</v>
      </c>
      <c r="E28" s="39">
        <f t="shared" si="3"/>
        <v>3.5499999999999945</v>
      </c>
      <c r="F28" s="40">
        <f t="shared" si="5"/>
        <v>1.5699999999999998</v>
      </c>
      <c r="G28" s="41">
        <f t="shared" si="0"/>
        <v>4.249999999999995</v>
      </c>
      <c r="H28" s="42">
        <f t="shared" si="6"/>
        <v>1.5699999999999998</v>
      </c>
    </row>
    <row r="29" spans="1:8" ht="15">
      <c r="A29" s="31">
        <f t="shared" si="1"/>
        <v>3.2599999999999945</v>
      </c>
      <c r="B29" s="32">
        <f t="shared" si="2"/>
        <v>1.5639999999999998</v>
      </c>
      <c r="C29" s="33">
        <f t="shared" si="3"/>
        <v>3.5599999999999943</v>
      </c>
      <c r="D29" s="34">
        <f t="shared" si="4"/>
        <v>1.5639999999999998</v>
      </c>
      <c r="E29" s="39">
        <f t="shared" si="3"/>
        <v>3.5599999999999943</v>
      </c>
      <c r="F29" s="40">
        <f t="shared" si="5"/>
        <v>1.5639999999999998</v>
      </c>
      <c r="G29" s="41">
        <f t="shared" si="0"/>
        <v>4.2599999999999945</v>
      </c>
      <c r="H29" s="42">
        <f t="shared" si="6"/>
        <v>1.5639999999999998</v>
      </c>
    </row>
    <row r="30" spans="1:8" ht="15">
      <c r="A30" s="31">
        <f t="shared" si="1"/>
        <v>3.2699999999999942</v>
      </c>
      <c r="B30" s="32">
        <f t="shared" si="2"/>
        <v>1.5579999999999998</v>
      </c>
      <c r="C30" s="33">
        <f t="shared" si="3"/>
        <v>3.569999999999994</v>
      </c>
      <c r="D30" s="34">
        <f t="shared" si="4"/>
        <v>1.5579999999999998</v>
      </c>
      <c r="E30" s="39">
        <f t="shared" si="3"/>
        <v>3.569999999999994</v>
      </c>
      <c r="F30" s="40">
        <f t="shared" si="5"/>
        <v>1.5579999999999998</v>
      </c>
      <c r="G30" s="41">
        <f t="shared" si="0"/>
        <v>4.269999999999994</v>
      </c>
      <c r="H30" s="42">
        <f t="shared" si="6"/>
        <v>1.5579999999999998</v>
      </c>
    </row>
    <row r="31" spans="1:8" ht="15">
      <c r="A31" s="31">
        <f t="shared" si="1"/>
        <v>3.279999999999994</v>
      </c>
      <c r="B31" s="32">
        <f t="shared" si="2"/>
        <v>1.5519999999999998</v>
      </c>
      <c r="C31" s="33">
        <f t="shared" si="3"/>
        <v>3.579999999999994</v>
      </c>
      <c r="D31" s="34">
        <f t="shared" si="4"/>
        <v>1.5519999999999998</v>
      </c>
      <c r="E31" s="39">
        <f t="shared" si="3"/>
        <v>3.579999999999994</v>
      </c>
      <c r="F31" s="40">
        <f t="shared" si="5"/>
        <v>1.5519999999999998</v>
      </c>
      <c r="G31" s="41">
        <f t="shared" si="0"/>
        <v>4.279999999999994</v>
      </c>
      <c r="H31" s="42">
        <f t="shared" si="6"/>
        <v>1.5519999999999998</v>
      </c>
    </row>
    <row r="32" spans="1:8" ht="15">
      <c r="A32" s="31">
        <f t="shared" si="1"/>
        <v>3.289999999999994</v>
      </c>
      <c r="B32" s="32">
        <f t="shared" si="2"/>
        <v>1.5459999999999998</v>
      </c>
      <c r="C32" s="33">
        <f t="shared" si="3"/>
        <v>3.5899999999999936</v>
      </c>
      <c r="D32" s="34">
        <f t="shared" si="4"/>
        <v>1.5459999999999998</v>
      </c>
      <c r="E32" s="39">
        <f t="shared" si="3"/>
        <v>3.5899999999999936</v>
      </c>
      <c r="F32" s="40">
        <f t="shared" si="5"/>
        <v>1.5459999999999998</v>
      </c>
      <c r="G32" s="41">
        <f t="shared" si="0"/>
        <v>4.289999999999994</v>
      </c>
      <c r="H32" s="42">
        <f t="shared" si="6"/>
        <v>1.5459999999999998</v>
      </c>
    </row>
    <row r="33" spans="1:8" ht="15">
      <c r="A33" s="31">
        <f t="shared" si="1"/>
        <v>3.2999999999999936</v>
      </c>
      <c r="B33" s="32">
        <f t="shared" si="2"/>
        <v>1.5399999999999998</v>
      </c>
      <c r="C33" s="33">
        <v>4</v>
      </c>
      <c r="D33" s="34">
        <f t="shared" si="4"/>
        <v>1.5399999999999998</v>
      </c>
      <c r="E33" s="39">
        <v>4</v>
      </c>
      <c r="F33" s="40">
        <f t="shared" si="5"/>
        <v>1.5399999999999998</v>
      </c>
      <c r="G33" s="41">
        <v>4.3</v>
      </c>
      <c r="H33" s="42">
        <f t="shared" si="6"/>
        <v>1.5399999999999998</v>
      </c>
    </row>
    <row r="34" spans="1:8" ht="15">
      <c r="A34" s="31">
        <f t="shared" si="1"/>
        <v>3.3099999999999934</v>
      </c>
      <c r="B34" s="32">
        <f t="shared" si="2"/>
        <v>1.5339999999999998</v>
      </c>
      <c r="C34" s="33">
        <f t="shared" si="3"/>
        <v>4.01</v>
      </c>
      <c r="D34" s="34">
        <f t="shared" si="4"/>
        <v>1.5339999999999998</v>
      </c>
      <c r="E34" s="39">
        <f t="shared" si="3"/>
        <v>4.01</v>
      </c>
      <c r="F34" s="40">
        <f t="shared" si="5"/>
        <v>1.5339999999999998</v>
      </c>
      <c r="G34" s="41">
        <f aca="true" t="shared" si="7" ref="G34:G62">G33+0.01</f>
        <v>4.31</v>
      </c>
      <c r="H34" s="42">
        <f t="shared" si="6"/>
        <v>1.5339999999999998</v>
      </c>
    </row>
    <row r="35" spans="1:8" ht="15">
      <c r="A35" s="31">
        <f t="shared" si="1"/>
        <v>3.319999999999993</v>
      </c>
      <c r="B35" s="32">
        <f t="shared" si="2"/>
        <v>1.5279999999999998</v>
      </c>
      <c r="C35" s="33">
        <f t="shared" si="3"/>
        <v>4.02</v>
      </c>
      <c r="D35" s="34">
        <f t="shared" si="4"/>
        <v>1.5279999999999998</v>
      </c>
      <c r="E35" s="39">
        <f t="shared" si="3"/>
        <v>4.02</v>
      </c>
      <c r="F35" s="40">
        <f t="shared" si="5"/>
        <v>1.5279999999999998</v>
      </c>
      <c r="G35" s="41">
        <f t="shared" si="7"/>
        <v>4.319999999999999</v>
      </c>
      <c r="H35" s="42">
        <f t="shared" si="6"/>
        <v>1.5279999999999998</v>
      </c>
    </row>
    <row r="36" spans="1:8" ht="15">
      <c r="A36" s="31">
        <f t="shared" si="1"/>
        <v>3.329999999999993</v>
      </c>
      <c r="B36" s="32">
        <f t="shared" si="2"/>
        <v>1.5219999999999998</v>
      </c>
      <c r="C36" s="33">
        <f t="shared" si="3"/>
        <v>4.029999999999999</v>
      </c>
      <c r="D36" s="34">
        <f t="shared" si="4"/>
        <v>1.5219999999999998</v>
      </c>
      <c r="E36" s="39">
        <f t="shared" si="3"/>
        <v>4.029999999999999</v>
      </c>
      <c r="F36" s="40">
        <f t="shared" si="5"/>
        <v>1.5219999999999998</v>
      </c>
      <c r="G36" s="41">
        <f t="shared" si="7"/>
        <v>4.329999999999999</v>
      </c>
      <c r="H36" s="42">
        <f t="shared" si="6"/>
        <v>1.5219999999999998</v>
      </c>
    </row>
    <row r="37" spans="1:8" ht="15">
      <c r="A37" s="31">
        <f t="shared" si="1"/>
        <v>3.3399999999999928</v>
      </c>
      <c r="B37" s="32">
        <f t="shared" si="2"/>
        <v>1.5159999999999998</v>
      </c>
      <c r="C37" s="33">
        <f t="shared" si="3"/>
        <v>4.039999999999999</v>
      </c>
      <c r="D37" s="34">
        <f t="shared" si="4"/>
        <v>1.5159999999999998</v>
      </c>
      <c r="E37" s="39">
        <f t="shared" si="3"/>
        <v>4.039999999999999</v>
      </c>
      <c r="F37" s="40">
        <f t="shared" si="5"/>
        <v>1.5159999999999998</v>
      </c>
      <c r="G37" s="41">
        <f t="shared" si="7"/>
        <v>4.339999999999999</v>
      </c>
      <c r="H37" s="42">
        <f t="shared" si="6"/>
        <v>1.5159999999999998</v>
      </c>
    </row>
    <row r="38" spans="1:8" ht="15">
      <c r="A38" s="31">
        <f t="shared" si="1"/>
        <v>3.3499999999999925</v>
      </c>
      <c r="B38" s="32">
        <f t="shared" si="2"/>
        <v>1.5099999999999998</v>
      </c>
      <c r="C38" s="33">
        <f t="shared" si="3"/>
        <v>4.049999999999999</v>
      </c>
      <c r="D38" s="34">
        <f t="shared" si="4"/>
        <v>1.5099999999999998</v>
      </c>
      <c r="E38" s="39">
        <f t="shared" si="3"/>
        <v>4.049999999999999</v>
      </c>
      <c r="F38" s="40">
        <f t="shared" si="5"/>
        <v>1.5099999999999998</v>
      </c>
      <c r="G38" s="41">
        <f t="shared" si="7"/>
        <v>4.349999999999999</v>
      </c>
      <c r="H38" s="42">
        <f t="shared" si="6"/>
        <v>1.5099999999999998</v>
      </c>
    </row>
    <row r="39" spans="1:8" ht="15">
      <c r="A39" s="31">
        <f t="shared" si="1"/>
        <v>3.3599999999999923</v>
      </c>
      <c r="B39" s="32">
        <f t="shared" si="2"/>
        <v>1.5039999999999998</v>
      </c>
      <c r="C39" s="33">
        <f t="shared" si="3"/>
        <v>4.059999999999999</v>
      </c>
      <c r="D39" s="34">
        <f t="shared" si="4"/>
        <v>1.5039999999999998</v>
      </c>
      <c r="E39" s="39">
        <f t="shared" si="3"/>
        <v>4.059999999999999</v>
      </c>
      <c r="F39" s="40">
        <f t="shared" si="5"/>
        <v>1.5039999999999998</v>
      </c>
      <c r="G39" s="41">
        <f t="shared" si="7"/>
        <v>4.3599999999999985</v>
      </c>
      <c r="H39" s="42">
        <f t="shared" si="6"/>
        <v>1.5039999999999998</v>
      </c>
    </row>
    <row r="40" spans="1:8" ht="15">
      <c r="A40" s="31">
        <f t="shared" si="1"/>
        <v>3.369999999999992</v>
      </c>
      <c r="B40" s="32">
        <f t="shared" si="2"/>
        <v>1.4979999999999998</v>
      </c>
      <c r="C40" s="33">
        <f t="shared" si="3"/>
        <v>4.0699999999999985</v>
      </c>
      <c r="D40" s="34">
        <f t="shared" si="4"/>
        <v>1.4979999999999998</v>
      </c>
      <c r="E40" s="39">
        <f t="shared" si="3"/>
        <v>4.0699999999999985</v>
      </c>
      <c r="F40" s="40">
        <f t="shared" si="5"/>
        <v>1.4979999999999998</v>
      </c>
      <c r="G40" s="41">
        <f t="shared" si="7"/>
        <v>4.369999999999998</v>
      </c>
      <c r="H40" s="42">
        <f t="shared" si="6"/>
        <v>1.4979999999999998</v>
      </c>
    </row>
    <row r="41" spans="1:8" ht="15">
      <c r="A41" s="31">
        <f t="shared" si="1"/>
        <v>3.379999999999992</v>
      </c>
      <c r="B41" s="32">
        <f t="shared" si="2"/>
        <v>1.4919999999999998</v>
      </c>
      <c r="C41" s="33">
        <f t="shared" si="3"/>
        <v>4.079999999999998</v>
      </c>
      <c r="D41" s="34">
        <f t="shared" si="4"/>
        <v>1.4919999999999998</v>
      </c>
      <c r="E41" s="39">
        <f t="shared" si="3"/>
        <v>4.079999999999998</v>
      </c>
      <c r="F41" s="40">
        <f t="shared" si="5"/>
        <v>1.4919999999999998</v>
      </c>
      <c r="G41" s="41">
        <f t="shared" si="7"/>
        <v>4.379999999999998</v>
      </c>
      <c r="H41" s="42">
        <f t="shared" si="6"/>
        <v>1.4919999999999998</v>
      </c>
    </row>
    <row r="42" spans="1:8" ht="15">
      <c r="A42" s="31">
        <f t="shared" si="1"/>
        <v>3.3899999999999917</v>
      </c>
      <c r="B42" s="32">
        <f t="shared" si="2"/>
        <v>1.4859999999999998</v>
      </c>
      <c r="C42" s="33">
        <f t="shared" si="3"/>
        <v>4.089999999999998</v>
      </c>
      <c r="D42" s="34">
        <f t="shared" si="4"/>
        <v>1.4859999999999998</v>
      </c>
      <c r="E42" s="39">
        <f t="shared" si="3"/>
        <v>4.089999999999998</v>
      </c>
      <c r="F42" s="40">
        <f t="shared" si="5"/>
        <v>1.4859999999999998</v>
      </c>
      <c r="G42" s="41">
        <f t="shared" si="7"/>
        <v>4.389999999999998</v>
      </c>
      <c r="H42" s="42">
        <f t="shared" si="6"/>
        <v>1.4859999999999998</v>
      </c>
    </row>
    <row r="43" spans="1:8" ht="15">
      <c r="A43" s="31">
        <f t="shared" si="1"/>
        <v>3.3999999999999915</v>
      </c>
      <c r="B43" s="32">
        <f t="shared" si="2"/>
        <v>1.4799999999999998</v>
      </c>
      <c r="C43" s="33">
        <f t="shared" si="3"/>
        <v>4.099999999999998</v>
      </c>
      <c r="D43" s="34">
        <f t="shared" si="4"/>
        <v>1.4799999999999998</v>
      </c>
      <c r="E43" s="39">
        <f t="shared" si="3"/>
        <v>4.099999999999998</v>
      </c>
      <c r="F43" s="40">
        <f t="shared" si="5"/>
        <v>1.4799999999999998</v>
      </c>
      <c r="G43" s="41">
        <f t="shared" si="7"/>
        <v>4.399999999999998</v>
      </c>
      <c r="H43" s="42">
        <f t="shared" si="6"/>
        <v>1.4799999999999998</v>
      </c>
    </row>
    <row r="44" spans="1:8" ht="15">
      <c r="A44" s="31">
        <f t="shared" si="1"/>
        <v>3.4099999999999913</v>
      </c>
      <c r="B44" s="32">
        <f t="shared" si="2"/>
        <v>1.4739999999999998</v>
      </c>
      <c r="C44" s="33">
        <f t="shared" si="3"/>
        <v>4.109999999999998</v>
      </c>
      <c r="D44" s="34">
        <f t="shared" si="4"/>
        <v>1.4739999999999998</v>
      </c>
      <c r="E44" s="39">
        <f t="shared" si="3"/>
        <v>4.109999999999998</v>
      </c>
      <c r="F44" s="40">
        <f t="shared" si="5"/>
        <v>1.4739999999999998</v>
      </c>
      <c r="G44" s="41">
        <f t="shared" si="7"/>
        <v>4.4099999999999975</v>
      </c>
      <c r="H44" s="42">
        <f t="shared" si="6"/>
        <v>1.4739999999999998</v>
      </c>
    </row>
    <row r="45" spans="1:8" ht="15">
      <c r="A45" s="31">
        <f t="shared" si="1"/>
        <v>3.419999999999991</v>
      </c>
      <c r="B45" s="32">
        <f t="shared" si="2"/>
        <v>1.4679999999999997</v>
      </c>
      <c r="C45" s="33">
        <f t="shared" si="3"/>
        <v>4.119999999999997</v>
      </c>
      <c r="D45" s="34">
        <f t="shared" si="4"/>
        <v>1.4679999999999997</v>
      </c>
      <c r="E45" s="39">
        <f t="shared" si="3"/>
        <v>4.119999999999997</v>
      </c>
      <c r="F45" s="40">
        <f t="shared" si="5"/>
        <v>1.4679999999999997</v>
      </c>
      <c r="G45" s="41">
        <f t="shared" si="7"/>
        <v>4.419999999999997</v>
      </c>
      <c r="H45" s="42">
        <f t="shared" si="6"/>
        <v>1.4679999999999997</v>
      </c>
    </row>
    <row r="46" spans="1:8" ht="15">
      <c r="A46" s="31">
        <f t="shared" si="1"/>
        <v>3.429999999999991</v>
      </c>
      <c r="B46" s="32">
        <f t="shared" si="2"/>
        <v>1.4619999999999997</v>
      </c>
      <c r="C46" s="33">
        <f t="shared" si="3"/>
        <v>4.129999999999997</v>
      </c>
      <c r="D46" s="34">
        <f t="shared" si="4"/>
        <v>1.4619999999999997</v>
      </c>
      <c r="E46" s="39">
        <f t="shared" si="3"/>
        <v>4.129999999999997</v>
      </c>
      <c r="F46" s="40">
        <f t="shared" si="5"/>
        <v>1.4619999999999997</v>
      </c>
      <c r="G46" s="41">
        <f t="shared" si="7"/>
        <v>4.429999999999997</v>
      </c>
      <c r="H46" s="42">
        <f t="shared" si="6"/>
        <v>1.4619999999999997</v>
      </c>
    </row>
    <row r="47" spans="1:8" ht="15">
      <c r="A47" s="31">
        <f t="shared" si="1"/>
        <v>3.4399999999999906</v>
      </c>
      <c r="B47" s="32">
        <f t="shared" si="2"/>
        <v>1.4559999999999997</v>
      </c>
      <c r="C47" s="33">
        <f t="shared" si="3"/>
        <v>4.139999999999997</v>
      </c>
      <c r="D47" s="34">
        <f t="shared" si="4"/>
        <v>1.4559999999999997</v>
      </c>
      <c r="E47" s="39">
        <f t="shared" si="3"/>
        <v>4.139999999999997</v>
      </c>
      <c r="F47" s="40">
        <f t="shared" si="5"/>
        <v>1.4559999999999997</v>
      </c>
      <c r="G47" s="41">
        <f t="shared" si="7"/>
        <v>4.439999999999997</v>
      </c>
      <c r="H47" s="42">
        <f t="shared" si="6"/>
        <v>1.4559999999999997</v>
      </c>
    </row>
    <row r="48" spans="1:8" ht="15">
      <c r="A48" s="31">
        <f t="shared" si="1"/>
        <v>3.4499999999999904</v>
      </c>
      <c r="B48" s="32">
        <f t="shared" si="2"/>
        <v>1.4499999999999997</v>
      </c>
      <c r="C48" s="33">
        <f t="shared" si="3"/>
        <v>4.149999999999997</v>
      </c>
      <c r="D48" s="34">
        <f t="shared" si="4"/>
        <v>1.4499999999999997</v>
      </c>
      <c r="E48" s="39">
        <f t="shared" si="3"/>
        <v>4.149999999999997</v>
      </c>
      <c r="F48" s="40">
        <f t="shared" si="5"/>
        <v>1.4499999999999997</v>
      </c>
      <c r="G48" s="41">
        <f t="shared" si="7"/>
        <v>4.449999999999997</v>
      </c>
      <c r="H48" s="42">
        <f t="shared" si="6"/>
        <v>1.4499999999999997</v>
      </c>
    </row>
    <row r="49" spans="1:8" ht="15">
      <c r="A49" s="31">
        <f t="shared" si="1"/>
        <v>3.45999999999999</v>
      </c>
      <c r="B49" s="32">
        <f t="shared" si="2"/>
        <v>1.4439999999999997</v>
      </c>
      <c r="C49" s="33">
        <f t="shared" si="3"/>
        <v>4.159999999999997</v>
      </c>
      <c r="D49" s="34">
        <f t="shared" si="4"/>
        <v>1.4439999999999997</v>
      </c>
      <c r="E49" s="39">
        <f t="shared" si="3"/>
        <v>4.159999999999997</v>
      </c>
      <c r="F49" s="40">
        <f t="shared" si="5"/>
        <v>1.4439999999999997</v>
      </c>
      <c r="G49" s="41">
        <f t="shared" si="7"/>
        <v>4.459999999999996</v>
      </c>
      <c r="H49" s="42">
        <f t="shared" si="6"/>
        <v>1.4439999999999997</v>
      </c>
    </row>
    <row r="50" spans="1:8" ht="15">
      <c r="A50" s="31">
        <f t="shared" si="1"/>
        <v>3.46999999999999</v>
      </c>
      <c r="B50" s="32">
        <f t="shared" si="2"/>
        <v>1.4379999999999997</v>
      </c>
      <c r="C50" s="33">
        <f t="shared" si="3"/>
        <v>4.169999999999996</v>
      </c>
      <c r="D50" s="34">
        <f t="shared" si="4"/>
        <v>1.4379999999999997</v>
      </c>
      <c r="E50" s="39">
        <f t="shared" si="3"/>
        <v>4.169999999999996</v>
      </c>
      <c r="F50" s="40">
        <f t="shared" si="5"/>
        <v>1.4379999999999997</v>
      </c>
      <c r="G50" s="41">
        <f t="shared" si="7"/>
        <v>4.469999999999996</v>
      </c>
      <c r="H50" s="42">
        <f t="shared" si="6"/>
        <v>1.4379999999999997</v>
      </c>
    </row>
    <row r="51" spans="1:8" ht="15">
      <c r="A51" s="31">
        <f t="shared" si="1"/>
        <v>3.4799999999999898</v>
      </c>
      <c r="B51" s="32">
        <f t="shared" si="2"/>
        <v>1.4319999999999997</v>
      </c>
      <c r="C51" s="33">
        <f t="shared" si="3"/>
        <v>4.179999999999996</v>
      </c>
      <c r="D51" s="34">
        <f t="shared" si="4"/>
        <v>1.4319999999999997</v>
      </c>
      <c r="E51" s="39">
        <f t="shared" si="3"/>
        <v>4.179999999999996</v>
      </c>
      <c r="F51" s="40">
        <f t="shared" si="5"/>
        <v>1.4319999999999997</v>
      </c>
      <c r="G51" s="41">
        <f t="shared" si="7"/>
        <v>4.479999999999996</v>
      </c>
      <c r="H51" s="42">
        <f t="shared" si="6"/>
        <v>1.4319999999999997</v>
      </c>
    </row>
    <row r="52" spans="1:8" ht="15">
      <c r="A52" s="31">
        <f t="shared" si="1"/>
        <v>3.4899999999999896</v>
      </c>
      <c r="B52" s="32">
        <f t="shared" si="2"/>
        <v>1.4259999999999997</v>
      </c>
      <c r="C52" s="33">
        <f t="shared" si="3"/>
        <v>4.189999999999996</v>
      </c>
      <c r="D52" s="34">
        <f t="shared" si="4"/>
        <v>1.4259999999999997</v>
      </c>
      <c r="E52" s="39">
        <f t="shared" si="3"/>
        <v>4.189999999999996</v>
      </c>
      <c r="F52" s="40">
        <f t="shared" si="5"/>
        <v>1.4259999999999997</v>
      </c>
      <c r="G52" s="41">
        <f t="shared" si="7"/>
        <v>4.489999999999996</v>
      </c>
      <c r="H52" s="42">
        <f t="shared" si="6"/>
        <v>1.4259999999999997</v>
      </c>
    </row>
    <row r="53" spans="1:8" ht="15">
      <c r="A53" s="31">
        <f t="shared" si="1"/>
        <v>3.4999999999999893</v>
      </c>
      <c r="B53" s="32">
        <f t="shared" si="2"/>
        <v>1.4199999999999997</v>
      </c>
      <c r="C53" s="33">
        <f t="shared" si="3"/>
        <v>4.199999999999996</v>
      </c>
      <c r="D53" s="34">
        <f t="shared" si="4"/>
        <v>1.4199999999999997</v>
      </c>
      <c r="E53" s="39">
        <f t="shared" si="3"/>
        <v>4.199999999999996</v>
      </c>
      <c r="F53" s="40">
        <f t="shared" si="5"/>
        <v>1.4199999999999997</v>
      </c>
      <c r="G53" s="41">
        <f t="shared" si="7"/>
        <v>4.499999999999996</v>
      </c>
      <c r="H53" s="42">
        <f t="shared" si="6"/>
        <v>1.4199999999999997</v>
      </c>
    </row>
    <row r="54" spans="1:8" ht="15">
      <c r="A54" s="31">
        <f t="shared" si="1"/>
        <v>3.509999999999989</v>
      </c>
      <c r="B54" s="32">
        <f t="shared" si="2"/>
        <v>1.4139999999999997</v>
      </c>
      <c r="C54" s="33">
        <f t="shared" si="3"/>
        <v>4.2099999999999955</v>
      </c>
      <c r="D54" s="34">
        <f t="shared" si="4"/>
        <v>1.4139999999999997</v>
      </c>
      <c r="E54" s="39">
        <f t="shared" si="3"/>
        <v>4.2099999999999955</v>
      </c>
      <c r="F54" s="40">
        <f t="shared" si="5"/>
        <v>1.4139999999999997</v>
      </c>
      <c r="G54" s="41">
        <f t="shared" si="7"/>
        <v>4.509999999999995</v>
      </c>
      <c r="H54" s="42">
        <f t="shared" si="6"/>
        <v>1.4139999999999997</v>
      </c>
    </row>
    <row r="55" spans="1:8" ht="15">
      <c r="A55" s="31">
        <f t="shared" si="1"/>
        <v>3.519999999999989</v>
      </c>
      <c r="B55" s="32">
        <f t="shared" si="2"/>
        <v>1.4079999999999997</v>
      </c>
      <c r="C55" s="33">
        <f t="shared" si="3"/>
        <v>4.219999999999995</v>
      </c>
      <c r="D55" s="34">
        <f t="shared" si="4"/>
        <v>1.4079999999999997</v>
      </c>
      <c r="E55" s="39">
        <f t="shared" si="3"/>
        <v>4.219999999999995</v>
      </c>
      <c r="F55" s="40">
        <f t="shared" si="5"/>
        <v>1.4079999999999997</v>
      </c>
      <c r="G55" s="41">
        <f t="shared" si="7"/>
        <v>4.519999999999995</v>
      </c>
      <c r="H55" s="42">
        <f t="shared" si="6"/>
        <v>1.4079999999999997</v>
      </c>
    </row>
    <row r="56" spans="1:8" ht="15">
      <c r="A56" s="31">
        <f t="shared" si="1"/>
        <v>3.5299999999999887</v>
      </c>
      <c r="B56" s="32">
        <f t="shared" si="2"/>
        <v>1.4019999999999997</v>
      </c>
      <c r="C56" s="33">
        <f t="shared" si="3"/>
        <v>4.229999999999995</v>
      </c>
      <c r="D56" s="34">
        <f t="shared" si="4"/>
        <v>1.4019999999999997</v>
      </c>
      <c r="E56" s="39">
        <f t="shared" si="3"/>
        <v>4.229999999999995</v>
      </c>
      <c r="F56" s="40">
        <f t="shared" si="5"/>
        <v>1.4019999999999997</v>
      </c>
      <c r="G56" s="41">
        <f t="shared" si="7"/>
        <v>4.529999999999995</v>
      </c>
      <c r="H56" s="42">
        <f t="shared" si="6"/>
        <v>1.4019999999999997</v>
      </c>
    </row>
    <row r="57" spans="1:8" ht="15">
      <c r="A57" s="31">
        <f t="shared" si="1"/>
        <v>3.5399999999999885</v>
      </c>
      <c r="B57" s="32">
        <f t="shared" si="2"/>
        <v>1.3959999999999997</v>
      </c>
      <c r="C57" s="33">
        <f t="shared" si="3"/>
        <v>4.239999999999995</v>
      </c>
      <c r="D57" s="34">
        <f t="shared" si="4"/>
        <v>1.3959999999999997</v>
      </c>
      <c r="E57" s="39">
        <f t="shared" si="3"/>
        <v>4.239999999999995</v>
      </c>
      <c r="F57" s="40">
        <f t="shared" si="5"/>
        <v>1.3959999999999997</v>
      </c>
      <c r="G57" s="41">
        <f t="shared" si="7"/>
        <v>4.539999999999995</v>
      </c>
      <c r="H57" s="42">
        <f t="shared" si="6"/>
        <v>1.3959999999999997</v>
      </c>
    </row>
    <row r="58" spans="1:8" ht="15">
      <c r="A58" s="31">
        <f t="shared" si="1"/>
        <v>3.5499999999999883</v>
      </c>
      <c r="B58" s="32">
        <f t="shared" si="2"/>
        <v>1.3899999999999997</v>
      </c>
      <c r="C58" s="33">
        <f t="shared" si="3"/>
        <v>4.249999999999995</v>
      </c>
      <c r="D58" s="34">
        <f t="shared" si="4"/>
        <v>1.3899999999999997</v>
      </c>
      <c r="E58" s="39">
        <f t="shared" si="3"/>
        <v>4.249999999999995</v>
      </c>
      <c r="F58" s="40">
        <f t="shared" si="5"/>
        <v>1.3899999999999997</v>
      </c>
      <c r="G58" s="41">
        <f t="shared" si="7"/>
        <v>4.5499999999999945</v>
      </c>
      <c r="H58" s="42">
        <f t="shared" si="6"/>
        <v>1.3899999999999997</v>
      </c>
    </row>
    <row r="59" spans="1:8" ht="15">
      <c r="A59" s="31">
        <f t="shared" si="1"/>
        <v>3.559999999999988</v>
      </c>
      <c r="B59" s="32">
        <f t="shared" si="2"/>
        <v>1.3839999999999997</v>
      </c>
      <c r="C59" s="33">
        <f t="shared" si="3"/>
        <v>4.2599999999999945</v>
      </c>
      <c r="D59" s="34">
        <f t="shared" si="4"/>
        <v>1.3839999999999997</v>
      </c>
      <c r="E59" s="39">
        <f t="shared" si="3"/>
        <v>4.2599999999999945</v>
      </c>
      <c r="F59" s="40">
        <f t="shared" si="5"/>
        <v>1.3839999999999997</v>
      </c>
      <c r="G59" s="41">
        <f t="shared" si="7"/>
        <v>4.559999999999994</v>
      </c>
      <c r="H59" s="42">
        <f t="shared" si="6"/>
        <v>1.3839999999999997</v>
      </c>
    </row>
    <row r="60" spans="1:8" ht="15">
      <c r="A60" s="31">
        <f t="shared" si="1"/>
        <v>3.569999999999988</v>
      </c>
      <c r="B60" s="32">
        <f t="shared" si="2"/>
        <v>1.3779999999999997</v>
      </c>
      <c r="C60" s="33">
        <f t="shared" si="3"/>
        <v>4.269999999999994</v>
      </c>
      <c r="D60" s="34">
        <f t="shared" si="4"/>
        <v>1.3779999999999997</v>
      </c>
      <c r="E60" s="39">
        <f t="shared" si="3"/>
        <v>4.269999999999994</v>
      </c>
      <c r="F60" s="40">
        <f t="shared" si="5"/>
        <v>1.3779999999999997</v>
      </c>
      <c r="G60" s="41">
        <f t="shared" si="7"/>
        <v>4.569999999999994</v>
      </c>
      <c r="H60" s="42">
        <f t="shared" si="6"/>
        <v>1.3779999999999997</v>
      </c>
    </row>
    <row r="61" spans="1:8" ht="15">
      <c r="A61" s="31">
        <f t="shared" si="1"/>
        <v>3.5799999999999876</v>
      </c>
      <c r="B61" s="32">
        <f t="shared" si="2"/>
        <v>1.3719999999999997</v>
      </c>
      <c r="C61" s="33">
        <f t="shared" si="3"/>
        <v>4.279999999999994</v>
      </c>
      <c r="D61" s="34">
        <f t="shared" si="4"/>
        <v>1.3719999999999997</v>
      </c>
      <c r="E61" s="39">
        <f t="shared" si="3"/>
        <v>4.279999999999994</v>
      </c>
      <c r="F61" s="40">
        <f t="shared" si="5"/>
        <v>1.3719999999999997</v>
      </c>
      <c r="G61" s="41">
        <f t="shared" si="7"/>
        <v>4.579999999999994</v>
      </c>
      <c r="H61" s="42">
        <f t="shared" si="6"/>
        <v>1.3719999999999997</v>
      </c>
    </row>
    <row r="62" spans="1:8" ht="15">
      <c r="A62" s="31">
        <f t="shared" si="1"/>
        <v>3.5899999999999874</v>
      </c>
      <c r="B62" s="32">
        <f t="shared" si="2"/>
        <v>1.3659999999999997</v>
      </c>
      <c r="C62" s="33">
        <f t="shared" si="3"/>
        <v>4.289999999999994</v>
      </c>
      <c r="D62" s="34">
        <f t="shared" si="4"/>
        <v>1.3659999999999997</v>
      </c>
      <c r="E62" s="39">
        <f t="shared" si="3"/>
        <v>4.289999999999994</v>
      </c>
      <c r="F62" s="40">
        <f t="shared" si="5"/>
        <v>1.3659999999999997</v>
      </c>
      <c r="G62" s="41">
        <f t="shared" si="7"/>
        <v>4.589999999999994</v>
      </c>
      <c r="H62" s="42">
        <f t="shared" si="6"/>
        <v>1.3659999999999997</v>
      </c>
    </row>
    <row r="63" spans="1:8" ht="15">
      <c r="A63" s="31">
        <v>4</v>
      </c>
      <c r="B63" s="32">
        <f t="shared" si="2"/>
        <v>1.3599999999999997</v>
      </c>
      <c r="C63" s="33">
        <f t="shared" si="3"/>
        <v>4.299999999999994</v>
      </c>
      <c r="D63" s="34">
        <f t="shared" si="4"/>
        <v>1.3599999999999997</v>
      </c>
      <c r="E63" s="39">
        <f t="shared" si="3"/>
        <v>4.299999999999994</v>
      </c>
      <c r="F63" s="40">
        <f t="shared" si="5"/>
        <v>1.3599999999999997</v>
      </c>
      <c r="G63" s="41">
        <v>5</v>
      </c>
      <c r="H63" s="42">
        <f t="shared" si="6"/>
        <v>1.3599999999999997</v>
      </c>
    </row>
    <row r="64" spans="1:8" ht="15">
      <c r="A64" s="31">
        <f>A63+0.01</f>
        <v>4.01</v>
      </c>
      <c r="B64" s="32">
        <f t="shared" si="2"/>
        <v>1.3539999999999996</v>
      </c>
      <c r="C64" s="33">
        <f t="shared" si="3"/>
        <v>4.309999999999993</v>
      </c>
      <c r="D64" s="34">
        <f t="shared" si="4"/>
        <v>1.3539999999999996</v>
      </c>
      <c r="E64" s="39">
        <f t="shared" si="3"/>
        <v>4.309999999999993</v>
      </c>
      <c r="F64" s="40">
        <f t="shared" si="5"/>
        <v>1.3539999999999996</v>
      </c>
      <c r="G64" s="41">
        <v>5.01</v>
      </c>
      <c r="H64" s="42">
        <f t="shared" si="6"/>
        <v>1.3539999999999996</v>
      </c>
    </row>
    <row r="65" spans="1:8" ht="15">
      <c r="A65" s="31">
        <f aca="true" t="shared" si="8" ref="A65:A122">A64+0.01</f>
        <v>4.02</v>
      </c>
      <c r="B65" s="32">
        <f t="shared" si="2"/>
        <v>1.3479999999999996</v>
      </c>
      <c r="C65" s="33">
        <f t="shared" si="3"/>
        <v>4.319999999999993</v>
      </c>
      <c r="D65" s="34">
        <f t="shared" si="4"/>
        <v>1.3479999999999996</v>
      </c>
      <c r="E65" s="39">
        <f t="shared" si="3"/>
        <v>4.319999999999993</v>
      </c>
      <c r="F65" s="40">
        <f t="shared" si="5"/>
        <v>1.3479999999999996</v>
      </c>
      <c r="G65" s="41">
        <f aca="true" t="shared" si="9" ref="G65:G92">G64+0.01</f>
        <v>5.02</v>
      </c>
      <c r="H65" s="42">
        <f t="shared" si="6"/>
        <v>1.3479999999999996</v>
      </c>
    </row>
    <row r="66" spans="1:8" ht="15">
      <c r="A66" s="31">
        <f t="shared" si="8"/>
        <v>4.029999999999999</v>
      </c>
      <c r="B66" s="32">
        <f t="shared" si="2"/>
        <v>1.3419999999999996</v>
      </c>
      <c r="C66" s="33">
        <f t="shared" si="3"/>
        <v>4.329999999999993</v>
      </c>
      <c r="D66" s="34">
        <f t="shared" si="4"/>
        <v>1.3419999999999996</v>
      </c>
      <c r="E66" s="39">
        <f t="shared" si="3"/>
        <v>4.329999999999993</v>
      </c>
      <c r="F66" s="40">
        <f t="shared" si="5"/>
        <v>1.3419999999999996</v>
      </c>
      <c r="G66" s="41">
        <f t="shared" si="9"/>
        <v>5.029999999999999</v>
      </c>
      <c r="H66" s="42">
        <f t="shared" si="6"/>
        <v>1.3419999999999996</v>
      </c>
    </row>
    <row r="67" spans="1:8" ht="15">
      <c r="A67" s="31">
        <f t="shared" si="8"/>
        <v>4.039999999999999</v>
      </c>
      <c r="B67" s="32">
        <f t="shared" si="2"/>
        <v>1.3359999999999996</v>
      </c>
      <c r="C67" s="33">
        <f t="shared" si="3"/>
        <v>4.339999999999993</v>
      </c>
      <c r="D67" s="34">
        <f t="shared" si="4"/>
        <v>1.3359999999999996</v>
      </c>
      <c r="E67" s="39">
        <f t="shared" si="3"/>
        <v>4.339999999999993</v>
      </c>
      <c r="F67" s="40">
        <f t="shared" si="5"/>
        <v>1.3359999999999996</v>
      </c>
      <c r="G67" s="41">
        <f t="shared" si="9"/>
        <v>5.039999999999999</v>
      </c>
      <c r="H67" s="42">
        <f t="shared" si="6"/>
        <v>1.3359999999999996</v>
      </c>
    </row>
    <row r="68" spans="1:8" ht="15">
      <c r="A68" s="31">
        <f t="shared" si="8"/>
        <v>4.049999999999999</v>
      </c>
      <c r="B68" s="32">
        <f t="shared" si="2"/>
        <v>1.3299999999999996</v>
      </c>
      <c r="C68" s="33">
        <f t="shared" si="3"/>
        <v>4.3499999999999925</v>
      </c>
      <c r="D68" s="34">
        <f t="shared" si="4"/>
        <v>1.3299999999999996</v>
      </c>
      <c r="E68" s="39">
        <f t="shared" si="3"/>
        <v>4.3499999999999925</v>
      </c>
      <c r="F68" s="40">
        <f t="shared" si="5"/>
        <v>1.3299999999999996</v>
      </c>
      <c r="G68" s="41">
        <f t="shared" si="9"/>
        <v>5.049999999999999</v>
      </c>
      <c r="H68" s="42">
        <f t="shared" si="6"/>
        <v>1.3299999999999996</v>
      </c>
    </row>
    <row r="69" spans="1:8" ht="15">
      <c r="A69" s="31">
        <f t="shared" si="8"/>
        <v>4.059999999999999</v>
      </c>
      <c r="B69" s="32">
        <f aca="true" t="shared" si="10" ref="B69:B123">B68-0.006</f>
        <v>1.3239999999999996</v>
      </c>
      <c r="C69" s="33">
        <f aca="true" t="shared" si="11" ref="C69:E123">C68+0.01</f>
        <v>4.359999999999992</v>
      </c>
      <c r="D69" s="34">
        <f aca="true" t="shared" si="12" ref="D69:D123">D68-0.006</f>
        <v>1.3239999999999996</v>
      </c>
      <c r="E69" s="39">
        <f t="shared" si="11"/>
        <v>4.359999999999992</v>
      </c>
      <c r="F69" s="40">
        <f aca="true" t="shared" si="13" ref="F69:F123">F68-0.006</f>
        <v>1.3239999999999996</v>
      </c>
      <c r="G69" s="41">
        <f t="shared" si="9"/>
        <v>5.059999999999999</v>
      </c>
      <c r="H69" s="42">
        <f aca="true" t="shared" si="14" ref="H69:H123">H68-0.006</f>
        <v>1.3239999999999996</v>
      </c>
    </row>
    <row r="70" spans="1:8" ht="15">
      <c r="A70" s="31">
        <f t="shared" si="8"/>
        <v>4.0699999999999985</v>
      </c>
      <c r="B70" s="32">
        <f t="shared" si="10"/>
        <v>1.3179999999999996</v>
      </c>
      <c r="C70" s="33">
        <f t="shared" si="11"/>
        <v>4.369999999999992</v>
      </c>
      <c r="D70" s="34">
        <f t="shared" si="12"/>
        <v>1.3179999999999996</v>
      </c>
      <c r="E70" s="39">
        <f t="shared" si="11"/>
        <v>4.369999999999992</v>
      </c>
      <c r="F70" s="40">
        <f t="shared" si="13"/>
        <v>1.3179999999999996</v>
      </c>
      <c r="G70" s="41">
        <f t="shared" si="9"/>
        <v>5.0699999999999985</v>
      </c>
      <c r="H70" s="42">
        <f t="shared" si="14"/>
        <v>1.3179999999999996</v>
      </c>
    </row>
    <row r="71" spans="1:8" ht="15">
      <c r="A71" s="31">
        <f t="shared" si="8"/>
        <v>4.079999999999998</v>
      </c>
      <c r="B71" s="32">
        <f t="shared" si="10"/>
        <v>1.3119999999999996</v>
      </c>
      <c r="C71" s="33">
        <f t="shared" si="11"/>
        <v>4.379999999999992</v>
      </c>
      <c r="D71" s="34">
        <f t="shared" si="12"/>
        <v>1.3119999999999996</v>
      </c>
      <c r="E71" s="39">
        <f t="shared" si="11"/>
        <v>4.379999999999992</v>
      </c>
      <c r="F71" s="40">
        <f t="shared" si="13"/>
        <v>1.3119999999999996</v>
      </c>
      <c r="G71" s="41">
        <f t="shared" si="9"/>
        <v>5.079999999999998</v>
      </c>
      <c r="H71" s="42">
        <f t="shared" si="14"/>
        <v>1.3119999999999996</v>
      </c>
    </row>
    <row r="72" spans="1:8" ht="15">
      <c r="A72" s="31">
        <f t="shared" si="8"/>
        <v>4.089999999999998</v>
      </c>
      <c r="B72" s="32">
        <f t="shared" si="10"/>
        <v>1.3059999999999996</v>
      </c>
      <c r="C72" s="33">
        <f t="shared" si="11"/>
        <v>4.389999999999992</v>
      </c>
      <c r="D72" s="34">
        <f t="shared" si="12"/>
        <v>1.3059999999999996</v>
      </c>
      <c r="E72" s="39">
        <f t="shared" si="11"/>
        <v>4.389999999999992</v>
      </c>
      <c r="F72" s="40">
        <f t="shared" si="13"/>
        <v>1.3059999999999996</v>
      </c>
      <c r="G72" s="41">
        <f t="shared" si="9"/>
        <v>5.089999999999998</v>
      </c>
      <c r="H72" s="42">
        <f t="shared" si="14"/>
        <v>1.3059999999999996</v>
      </c>
    </row>
    <row r="73" spans="1:8" ht="15">
      <c r="A73" s="31">
        <f t="shared" si="8"/>
        <v>4.099999999999998</v>
      </c>
      <c r="B73" s="32">
        <f t="shared" si="10"/>
        <v>1.2999999999999996</v>
      </c>
      <c r="C73" s="33">
        <f t="shared" si="11"/>
        <v>4.3999999999999915</v>
      </c>
      <c r="D73" s="34">
        <f t="shared" si="12"/>
        <v>1.2999999999999996</v>
      </c>
      <c r="E73" s="39">
        <f t="shared" si="11"/>
        <v>4.3999999999999915</v>
      </c>
      <c r="F73" s="40">
        <f t="shared" si="13"/>
        <v>1.2999999999999996</v>
      </c>
      <c r="G73" s="41">
        <f t="shared" si="9"/>
        <v>5.099999999999998</v>
      </c>
      <c r="H73" s="42">
        <f t="shared" si="14"/>
        <v>1.2999999999999996</v>
      </c>
    </row>
    <row r="74" spans="1:8" ht="15">
      <c r="A74" s="31">
        <f t="shared" si="8"/>
        <v>4.109999999999998</v>
      </c>
      <c r="B74" s="32">
        <f t="shared" si="10"/>
        <v>1.2939999999999996</v>
      </c>
      <c r="C74" s="33">
        <f t="shared" si="11"/>
        <v>4.409999999999991</v>
      </c>
      <c r="D74" s="34">
        <f t="shared" si="12"/>
        <v>1.2939999999999996</v>
      </c>
      <c r="E74" s="39">
        <f t="shared" si="11"/>
        <v>4.409999999999991</v>
      </c>
      <c r="F74" s="40">
        <f t="shared" si="13"/>
        <v>1.2939999999999996</v>
      </c>
      <c r="G74" s="41">
        <f t="shared" si="9"/>
        <v>5.109999999999998</v>
      </c>
      <c r="H74" s="42">
        <f t="shared" si="14"/>
        <v>1.2939999999999996</v>
      </c>
    </row>
    <row r="75" spans="1:8" ht="15">
      <c r="A75" s="31">
        <f t="shared" si="8"/>
        <v>4.119999999999997</v>
      </c>
      <c r="B75" s="32">
        <f t="shared" si="10"/>
        <v>1.2879999999999996</v>
      </c>
      <c r="C75" s="33">
        <f t="shared" si="11"/>
        <v>4.419999999999991</v>
      </c>
      <c r="D75" s="34">
        <f t="shared" si="12"/>
        <v>1.2879999999999996</v>
      </c>
      <c r="E75" s="39">
        <f t="shared" si="11"/>
        <v>4.419999999999991</v>
      </c>
      <c r="F75" s="40">
        <f t="shared" si="13"/>
        <v>1.2879999999999996</v>
      </c>
      <c r="G75" s="41">
        <f t="shared" si="9"/>
        <v>5.119999999999997</v>
      </c>
      <c r="H75" s="42">
        <f t="shared" si="14"/>
        <v>1.2879999999999996</v>
      </c>
    </row>
    <row r="76" spans="1:8" ht="15">
      <c r="A76" s="31">
        <f t="shared" si="8"/>
        <v>4.129999999999997</v>
      </c>
      <c r="B76" s="32">
        <f t="shared" si="10"/>
        <v>1.2819999999999996</v>
      </c>
      <c r="C76" s="33">
        <f t="shared" si="11"/>
        <v>4.429999999999991</v>
      </c>
      <c r="D76" s="34">
        <f t="shared" si="12"/>
        <v>1.2819999999999996</v>
      </c>
      <c r="E76" s="39">
        <f t="shared" si="11"/>
        <v>4.429999999999991</v>
      </c>
      <c r="F76" s="40">
        <f t="shared" si="13"/>
        <v>1.2819999999999996</v>
      </c>
      <c r="G76" s="41">
        <f t="shared" si="9"/>
        <v>5.129999999999997</v>
      </c>
      <c r="H76" s="42">
        <f t="shared" si="14"/>
        <v>1.2819999999999996</v>
      </c>
    </row>
    <row r="77" spans="1:8" ht="15">
      <c r="A77" s="31">
        <f t="shared" si="8"/>
        <v>4.139999999999997</v>
      </c>
      <c r="B77" s="32">
        <f t="shared" si="10"/>
        <v>1.2759999999999996</v>
      </c>
      <c r="C77" s="33">
        <f t="shared" si="11"/>
        <v>4.439999999999991</v>
      </c>
      <c r="D77" s="34">
        <f t="shared" si="12"/>
        <v>1.2759999999999996</v>
      </c>
      <c r="E77" s="39">
        <f t="shared" si="11"/>
        <v>4.439999999999991</v>
      </c>
      <c r="F77" s="40">
        <f t="shared" si="13"/>
        <v>1.2759999999999996</v>
      </c>
      <c r="G77" s="41">
        <f t="shared" si="9"/>
        <v>5.139999999999997</v>
      </c>
      <c r="H77" s="42">
        <f t="shared" si="14"/>
        <v>1.2759999999999996</v>
      </c>
    </row>
    <row r="78" spans="1:8" ht="15">
      <c r="A78" s="31">
        <f t="shared" si="8"/>
        <v>4.149999999999997</v>
      </c>
      <c r="B78" s="32">
        <f t="shared" si="10"/>
        <v>1.2699999999999996</v>
      </c>
      <c r="C78" s="33">
        <f t="shared" si="11"/>
        <v>4.44999999999999</v>
      </c>
      <c r="D78" s="34">
        <f t="shared" si="12"/>
        <v>1.2699999999999996</v>
      </c>
      <c r="E78" s="39">
        <f t="shared" si="11"/>
        <v>4.44999999999999</v>
      </c>
      <c r="F78" s="40">
        <f t="shared" si="13"/>
        <v>1.2699999999999996</v>
      </c>
      <c r="G78" s="41">
        <f t="shared" si="9"/>
        <v>5.149999999999997</v>
      </c>
      <c r="H78" s="42">
        <f t="shared" si="14"/>
        <v>1.2699999999999996</v>
      </c>
    </row>
    <row r="79" spans="1:8" ht="15">
      <c r="A79" s="31">
        <f t="shared" si="8"/>
        <v>4.159999999999997</v>
      </c>
      <c r="B79" s="32">
        <f t="shared" si="10"/>
        <v>1.2639999999999996</v>
      </c>
      <c r="C79" s="33">
        <f t="shared" si="11"/>
        <v>4.45999999999999</v>
      </c>
      <c r="D79" s="34">
        <f t="shared" si="12"/>
        <v>1.2639999999999996</v>
      </c>
      <c r="E79" s="39">
        <f t="shared" si="11"/>
        <v>4.45999999999999</v>
      </c>
      <c r="F79" s="40">
        <f t="shared" si="13"/>
        <v>1.2639999999999996</v>
      </c>
      <c r="G79" s="41">
        <f t="shared" si="9"/>
        <v>5.159999999999997</v>
      </c>
      <c r="H79" s="42">
        <f t="shared" si="14"/>
        <v>1.2639999999999996</v>
      </c>
    </row>
    <row r="80" spans="1:8" ht="15">
      <c r="A80" s="31">
        <f t="shared" si="8"/>
        <v>4.169999999999996</v>
      </c>
      <c r="B80" s="32">
        <f t="shared" si="10"/>
        <v>1.2579999999999996</v>
      </c>
      <c r="C80" s="33">
        <f t="shared" si="11"/>
        <v>4.46999999999999</v>
      </c>
      <c r="D80" s="34">
        <f t="shared" si="12"/>
        <v>1.2579999999999996</v>
      </c>
      <c r="E80" s="39">
        <f t="shared" si="11"/>
        <v>4.46999999999999</v>
      </c>
      <c r="F80" s="40">
        <f t="shared" si="13"/>
        <v>1.2579999999999996</v>
      </c>
      <c r="G80" s="41">
        <f t="shared" si="9"/>
        <v>5.169999999999996</v>
      </c>
      <c r="H80" s="42">
        <f t="shared" si="14"/>
        <v>1.2579999999999996</v>
      </c>
    </row>
    <row r="81" spans="1:8" ht="15">
      <c r="A81" s="31">
        <f t="shared" si="8"/>
        <v>4.179999999999996</v>
      </c>
      <c r="B81" s="32">
        <f t="shared" si="10"/>
        <v>1.2519999999999996</v>
      </c>
      <c r="C81" s="33">
        <f t="shared" si="11"/>
        <v>4.47999999999999</v>
      </c>
      <c r="D81" s="34">
        <f t="shared" si="12"/>
        <v>1.2519999999999996</v>
      </c>
      <c r="E81" s="39">
        <f t="shared" si="11"/>
        <v>4.47999999999999</v>
      </c>
      <c r="F81" s="40">
        <f t="shared" si="13"/>
        <v>1.2519999999999996</v>
      </c>
      <c r="G81" s="41">
        <f t="shared" si="9"/>
        <v>5.179999999999996</v>
      </c>
      <c r="H81" s="42">
        <f t="shared" si="14"/>
        <v>1.2519999999999996</v>
      </c>
    </row>
    <row r="82" spans="1:8" ht="15">
      <c r="A82" s="31">
        <f t="shared" si="8"/>
        <v>4.189999999999996</v>
      </c>
      <c r="B82" s="32">
        <f t="shared" si="10"/>
        <v>1.2459999999999996</v>
      </c>
      <c r="C82" s="33">
        <f t="shared" si="11"/>
        <v>4.4899999999999896</v>
      </c>
      <c r="D82" s="34">
        <f t="shared" si="12"/>
        <v>1.2459999999999996</v>
      </c>
      <c r="E82" s="39">
        <f t="shared" si="11"/>
        <v>4.4899999999999896</v>
      </c>
      <c r="F82" s="40">
        <f t="shared" si="13"/>
        <v>1.2459999999999996</v>
      </c>
      <c r="G82" s="41">
        <f t="shared" si="9"/>
        <v>5.189999999999996</v>
      </c>
      <c r="H82" s="42">
        <f t="shared" si="14"/>
        <v>1.2459999999999996</v>
      </c>
    </row>
    <row r="83" spans="1:8" ht="15">
      <c r="A83" s="31">
        <f t="shared" si="8"/>
        <v>4.199999999999996</v>
      </c>
      <c r="B83" s="32">
        <f t="shared" si="10"/>
        <v>1.2399999999999995</v>
      </c>
      <c r="C83" s="33">
        <f t="shared" si="11"/>
        <v>4.499999999999989</v>
      </c>
      <c r="D83" s="34">
        <f t="shared" si="12"/>
        <v>1.2399999999999995</v>
      </c>
      <c r="E83" s="39">
        <f t="shared" si="11"/>
        <v>4.499999999999989</v>
      </c>
      <c r="F83" s="40">
        <f t="shared" si="13"/>
        <v>1.2399999999999995</v>
      </c>
      <c r="G83" s="41">
        <f t="shared" si="9"/>
        <v>5.199999999999996</v>
      </c>
      <c r="H83" s="42">
        <f t="shared" si="14"/>
        <v>1.2399999999999995</v>
      </c>
    </row>
    <row r="84" spans="1:8" ht="15">
      <c r="A84" s="31">
        <f t="shared" si="8"/>
        <v>4.2099999999999955</v>
      </c>
      <c r="B84" s="32">
        <f t="shared" si="10"/>
        <v>1.2339999999999995</v>
      </c>
      <c r="C84" s="33">
        <f t="shared" si="11"/>
        <v>4.509999999999989</v>
      </c>
      <c r="D84" s="34">
        <f t="shared" si="12"/>
        <v>1.2339999999999995</v>
      </c>
      <c r="E84" s="39">
        <f t="shared" si="11"/>
        <v>4.509999999999989</v>
      </c>
      <c r="F84" s="40">
        <f t="shared" si="13"/>
        <v>1.2339999999999995</v>
      </c>
      <c r="G84" s="41">
        <f t="shared" si="9"/>
        <v>5.2099999999999955</v>
      </c>
      <c r="H84" s="42">
        <f t="shared" si="14"/>
        <v>1.2339999999999995</v>
      </c>
    </row>
    <row r="85" spans="1:8" ht="15">
      <c r="A85" s="31">
        <f t="shared" si="8"/>
        <v>4.219999999999995</v>
      </c>
      <c r="B85" s="32">
        <f t="shared" si="10"/>
        <v>1.2279999999999995</v>
      </c>
      <c r="C85" s="33">
        <f t="shared" si="11"/>
        <v>4.519999999999989</v>
      </c>
      <c r="D85" s="34">
        <f t="shared" si="12"/>
        <v>1.2279999999999995</v>
      </c>
      <c r="E85" s="39">
        <f t="shared" si="11"/>
        <v>4.519999999999989</v>
      </c>
      <c r="F85" s="40">
        <f t="shared" si="13"/>
        <v>1.2279999999999995</v>
      </c>
      <c r="G85" s="41">
        <f t="shared" si="9"/>
        <v>5.219999999999995</v>
      </c>
      <c r="H85" s="42">
        <f t="shared" si="14"/>
        <v>1.2279999999999995</v>
      </c>
    </row>
    <row r="86" spans="1:8" ht="15">
      <c r="A86" s="31">
        <f t="shared" si="8"/>
        <v>4.229999999999995</v>
      </c>
      <c r="B86" s="32">
        <f t="shared" si="10"/>
        <v>1.2219999999999995</v>
      </c>
      <c r="C86" s="33">
        <f t="shared" si="11"/>
        <v>4.529999999999989</v>
      </c>
      <c r="D86" s="34">
        <f t="shared" si="12"/>
        <v>1.2219999999999995</v>
      </c>
      <c r="E86" s="39">
        <f t="shared" si="11"/>
        <v>4.529999999999989</v>
      </c>
      <c r="F86" s="40">
        <f t="shared" si="13"/>
        <v>1.2219999999999995</v>
      </c>
      <c r="G86" s="41">
        <f t="shared" si="9"/>
        <v>5.229999999999995</v>
      </c>
      <c r="H86" s="42">
        <f t="shared" si="14"/>
        <v>1.2219999999999995</v>
      </c>
    </row>
    <row r="87" spans="1:8" ht="15">
      <c r="A87" s="31">
        <f t="shared" si="8"/>
        <v>4.239999999999995</v>
      </c>
      <c r="B87" s="32">
        <f t="shared" si="10"/>
        <v>1.2159999999999995</v>
      </c>
      <c r="C87" s="33">
        <f t="shared" si="11"/>
        <v>4.5399999999999885</v>
      </c>
      <c r="D87" s="34">
        <f t="shared" si="12"/>
        <v>1.2159999999999995</v>
      </c>
      <c r="E87" s="39">
        <f t="shared" si="11"/>
        <v>4.5399999999999885</v>
      </c>
      <c r="F87" s="40">
        <f t="shared" si="13"/>
        <v>1.2159999999999995</v>
      </c>
      <c r="G87" s="41">
        <f t="shared" si="9"/>
        <v>5.239999999999995</v>
      </c>
      <c r="H87" s="42">
        <f t="shared" si="14"/>
        <v>1.2159999999999995</v>
      </c>
    </row>
    <row r="88" spans="1:8" ht="15">
      <c r="A88" s="31">
        <f t="shared" si="8"/>
        <v>4.249999999999995</v>
      </c>
      <c r="B88" s="32">
        <f t="shared" si="10"/>
        <v>1.2099999999999995</v>
      </c>
      <c r="C88" s="33">
        <f t="shared" si="11"/>
        <v>4.549999999999988</v>
      </c>
      <c r="D88" s="34">
        <f t="shared" si="12"/>
        <v>1.2099999999999995</v>
      </c>
      <c r="E88" s="39">
        <f t="shared" si="11"/>
        <v>4.549999999999988</v>
      </c>
      <c r="F88" s="40">
        <f t="shared" si="13"/>
        <v>1.2099999999999995</v>
      </c>
      <c r="G88" s="41">
        <f t="shared" si="9"/>
        <v>5.249999999999995</v>
      </c>
      <c r="H88" s="42">
        <f t="shared" si="14"/>
        <v>1.2099999999999995</v>
      </c>
    </row>
    <row r="89" spans="1:8" ht="15">
      <c r="A89" s="31">
        <f t="shared" si="8"/>
        <v>4.2599999999999945</v>
      </c>
      <c r="B89" s="32">
        <f t="shared" si="10"/>
        <v>1.2039999999999995</v>
      </c>
      <c r="C89" s="33">
        <f t="shared" si="11"/>
        <v>4.559999999999988</v>
      </c>
      <c r="D89" s="34">
        <f t="shared" si="12"/>
        <v>1.2039999999999995</v>
      </c>
      <c r="E89" s="39">
        <f t="shared" si="11"/>
        <v>4.559999999999988</v>
      </c>
      <c r="F89" s="40">
        <f t="shared" si="13"/>
        <v>1.2039999999999995</v>
      </c>
      <c r="G89" s="41">
        <f t="shared" si="9"/>
        <v>5.2599999999999945</v>
      </c>
      <c r="H89" s="42">
        <f t="shared" si="14"/>
        <v>1.2039999999999995</v>
      </c>
    </row>
    <row r="90" spans="1:8" ht="15">
      <c r="A90" s="31">
        <f t="shared" si="8"/>
        <v>4.269999999999994</v>
      </c>
      <c r="B90" s="32">
        <f t="shared" si="10"/>
        <v>1.1979999999999995</v>
      </c>
      <c r="C90" s="33">
        <f t="shared" si="11"/>
        <v>4.569999999999988</v>
      </c>
      <c r="D90" s="34">
        <f t="shared" si="12"/>
        <v>1.1979999999999995</v>
      </c>
      <c r="E90" s="39">
        <f t="shared" si="11"/>
        <v>4.569999999999988</v>
      </c>
      <c r="F90" s="40">
        <f t="shared" si="13"/>
        <v>1.1979999999999995</v>
      </c>
      <c r="G90" s="41">
        <f t="shared" si="9"/>
        <v>5.269999999999994</v>
      </c>
      <c r="H90" s="42">
        <f t="shared" si="14"/>
        <v>1.1979999999999995</v>
      </c>
    </row>
    <row r="91" spans="1:8" ht="15">
      <c r="A91" s="31">
        <f t="shared" si="8"/>
        <v>4.279999999999994</v>
      </c>
      <c r="B91" s="32">
        <f t="shared" si="10"/>
        <v>1.1919999999999995</v>
      </c>
      <c r="C91" s="33">
        <f t="shared" si="11"/>
        <v>4.579999999999988</v>
      </c>
      <c r="D91" s="34">
        <f t="shared" si="12"/>
        <v>1.1919999999999995</v>
      </c>
      <c r="E91" s="39">
        <f t="shared" si="11"/>
        <v>4.579999999999988</v>
      </c>
      <c r="F91" s="40">
        <f t="shared" si="13"/>
        <v>1.1919999999999995</v>
      </c>
      <c r="G91" s="41">
        <f t="shared" si="9"/>
        <v>5.279999999999994</v>
      </c>
      <c r="H91" s="42">
        <f t="shared" si="14"/>
        <v>1.1919999999999995</v>
      </c>
    </row>
    <row r="92" spans="1:8" ht="15">
      <c r="A92" s="31">
        <f t="shared" si="8"/>
        <v>4.289999999999994</v>
      </c>
      <c r="B92" s="32">
        <f t="shared" si="10"/>
        <v>1.1859999999999995</v>
      </c>
      <c r="C92" s="33">
        <f t="shared" si="11"/>
        <v>4.589999999999987</v>
      </c>
      <c r="D92" s="34">
        <f t="shared" si="12"/>
        <v>1.1859999999999995</v>
      </c>
      <c r="E92" s="39">
        <f t="shared" si="11"/>
        <v>4.589999999999987</v>
      </c>
      <c r="F92" s="40">
        <f t="shared" si="13"/>
        <v>1.1859999999999995</v>
      </c>
      <c r="G92" s="41">
        <f t="shared" si="9"/>
        <v>5.289999999999994</v>
      </c>
      <c r="H92" s="42">
        <f t="shared" si="14"/>
        <v>1.1859999999999995</v>
      </c>
    </row>
    <row r="93" spans="1:8" ht="15">
      <c r="A93" s="31">
        <f t="shared" si="8"/>
        <v>4.299999999999994</v>
      </c>
      <c r="B93" s="32">
        <f t="shared" si="10"/>
        <v>1.1799999999999995</v>
      </c>
      <c r="C93" s="33">
        <v>5</v>
      </c>
      <c r="D93" s="34">
        <f t="shared" si="12"/>
        <v>1.1799999999999995</v>
      </c>
      <c r="E93" s="39">
        <v>5</v>
      </c>
      <c r="F93" s="40">
        <f t="shared" si="13"/>
        <v>1.1799999999999995</v>
      </c>
      <c r="G93" s="41">
        <v>5.3</v>
      </c>
      <c r="H93" s="42">
        <f t="shared" si="14"/>
        <v>1.1799999999999995</v>
      </c>
    </row>
    <row r="94" spans="1:8" ht="15">
      <c r="A94" s="31">
        <f t="shared" si="8"/>
        <v>4.309999999999993</v>
      </c>
      <c r="B94" s="32">
        <f t="shared" si="10"/>
        <v>1.1739999999999995</v>
      </c>
      <c r="C94" s="33">
        <f t="shared" si="11"/>
        <v>5.01</v>
      </c>
      <c r="D94" s="34">
        <f t="shared" si="12"/>
        <v>1.1739999999999995</v>
      </c>
      <c r="E94" s="39">
        <f t="shared" si="11"/>
        <v>5.01</v>
      </c>
      <c r="F94" s="40">
        <f t="shared" si="13"/>
        <v>1.1739999999999995</v>
      </c>
      <c r="G94" s="41">
        <f aca="true" t="shared" si="15" ref="G94:G122">G93+0.01</f>
        <v>5.31</v>
      </c>
      <c r="H94" s="42">
        <f t="shared" si="14"/>
        <v>1.1739999999999995</v>
      </c>
    </row>
    <row r="95" spans="1:8" ht="15">
      <c r="A95" s="31">
        <f t="shared" si="8"/>
        <v>4.319999999999993</v>
      </c>
      <c r="B95" s="32">
        <f t="shared" si="10"/>
        <v>1.1679999999999995</v>
      </c>
      <c r="C95" s="33">
        <f t="shared" si="11"/>
        <v>5.02</v>
      </c>
      <c r="D95" s="34">
        <f t="shared" si="12"/>
        <v>1.1679999999999995</v>
      </c>
      <c r="E95" s="39">
        <f t="shared" si="11"/>
        <v>5.02</v>
      </c>
      <c r="F95" s="40">
        <f t="shared" si="13"/>
        <v>1.1679999999999995</v>
      </c>
      <c r="G95" s="41">
        <f t="shared" si="15"/>
        <v>5.319999999999999</v>
      </c>
      <c r="H95" s="42">
        <f t="shared" si="14"/>
        <v>1.1679999999999995</v>
      </c>
    </row>
    <row r="96" spans="1:8" ht="15">
      <c r="A96" s="31">
        <f t="shared" si="8"/>
        <v>4.329999999999993</v>
      </c>
      <c r="B96" s="32">
        <f t="shared" si="10"/>
        <v>1.1619999999999995</v>
      </c>
      <c r="C96" s="33">
        <f t="shared" si="11"/>
        <v>5.029999999999999</v>
      </c>
      <c r="D96" s="34">
        <f t="shared" si="12"/>
        <v>1.1619999999999995</v>
      </c>
      <c r="E96" s="39">
        <f t="shared" si="11"/>
        <v>5.029999999999999</v>
      </c>
      <c r="F96" s="40">
        <f t="shared" si="13"/>
        <v>1.1619999999999995</v>
      </c>
      <c r="G96" s="41">
        <f t="shared" si="15"/>
        <v>5.329999999999999</v>
      </c>
      <c r="H96" s="42">
        <f t="shared" si="14"/>
        <v>1.1619999999999995</v>
      </c>
    </row>
    <row r="97" spans="1:8" ht="15">
      <c r="A97" s="31">
        <f t="shared" si="8"/>
        <v>4.339999999999993</v>
      </c>
      <c r="B97" s="32">
        <f t="shared" si="10"/>
        <v>1.1559999999999995</v>
      </c>
      <c r="C97" s="33">
        <f t="shared" si="11"/>
        <v>5.039999999999999</v>
      </c>
      <c r="D97" s="34">
        <f t="shared" si="12"/>
        <v>1.1559999999999995</v>
      </c>
      <c r="E97" s="39">
        <f t="shared" si="11"/>
        <v>5.039999999999999</v>
      </c>
      <c r="F97" s="40">
        <f t="shared" si="13"/>
        <v>1.1559999999999995</v>
      </c>
      <c r="G97" s="41">
        <f t="shared" si="15"/>
        <v>5.339999999999999</v>
      </c>
      <c r="H97" s="42">
        <f t="shared" si="14"/>
        <v>1.1559999999999995</v>
      </c>
    </row>
    <row r="98" spans="1:8" ht="15">
      <c r="A98" s="31">
        <f t="shared" si="8"/>
        <v>4.3499999999999925</v>
      </c>
      <c r="B98" s="32">
        <f t="shared" si="10"/>
        <v>1.1499999999999995</v>
      </c>
      <c r="C98" s="33">
        <f t="shared" si="11"/>
        <v>5.049999999999999</v>
      </c>
      <c r="D98" s="34">
        <f t="shared" si="12"/>
        <v>1.1499999999999995</v>
      </c>
      <c r="E98" s="39">
        <f t="shared" si="11"/>
        <v>5.049999999999999</v>
      </c>
      <c r="F98" s="40">
        <f t="shared" si="13"/>
        <v>1.1499999999999995</v>
      </c>
      <c r="G98" s="41">
        <f t="shared" si="15"/>
        <v>5.349999999999999</v>
      </c>
      <c r="H98" s="42">
        <f t="shared" si="14"/>
        <v>1.1499999999999995</v>
      </c>
    </row>
    <row r="99" spans="1:8" ht="15">
      <c r="A99" s="31">
        <f t="shared" si="8"/>
        <v>4.359999999999992</v>
      </c>
      <c r="B99" s="32">
        <f t="shared" si="10"/>
        <v>1.1439999999999995</v>
      </c>
      <c r="C99" s="33">
        <f t="shared" si="11"/>
        <v>5.059999999999999</v>
      </c>
      <c r="D99" s="34">
        <f t="shared" si="12"/>
        <v>1.1439999999999995</v>
      </c>
      <c r="E99" s="39">
        <f t="shared" si="11"/>
        <v>5.059999999999999</v>
      </c>
      <c r="F99" s="40">
        <f t="shared" si="13"/>
        <v>1.1439999999999995</v>
      </c>
      <c r="G99" s="41">
        <f t="shared" si="15"/>
        <v>5.3599999999999985</v>
      </c>
      <c r="H99" s="42">
        <f t="shared" si="14"/>
        <v>1.1439999999999995</v>
      </c>
    </row>
    <row r="100" spans="1:8" ht="15">
      <c r="A100" s="31">
        <f t="shared" si="8"/>
        <v>4.369999999999992</v>
      </c>
      <c r="B100" s="32">
        <f t="shared" si="10"/>
        <v>1.1379999999999995</v>
      </c>
      <c r="C100" s="33">
        <f t="shared" si="11"/>
        <v>5.0699999999999985</v>
      </c>
      <c r="D100" s="34">
        <f t="shared" si="12"/>
        <v>1.1379999999999995</v>
      </c>
      <c r="E100" s="39">
        <f t="shared" si="11"/>
        <v>5.0699999999999985</v>
      </c>
      <c r="F100" s="40">
        <f t="shared" si="13"/>
        <v>1.1379999999999995</v>
      </c>
      <c r="G100" s="41">
        <f t="shared" si="15"/>
        <v>5.369999999999998</v>
      </c>
      <c r="H100" s="42">
        <f t="shared" si="14"/>
        <v>1.1379999999999995</v>
      </c>
    </row>
    <row r="101" spans="1:8" ht="15">
      <c r="A101" s="31">
        <f t="shared" si="8"/>
        <v>4.379999999999992</v>
      </c>
      <c r="B101" s="32">
        <f t="shared" si="10"/>
        <v>1.1319999999999995</v>
      </c>
      <c r="C101" s="33">
        <f t="shared" si="11"/>
        <v>5.079999999999998</v>
      </c>
      <c r="D101" s="34">
        <f t="shared" si="12"/>
        <v>1.1319999999999995</v>
      </c>
      <c r="E101" s="39">
        <f t="shared" si="11"/>
        <v>5.079999999999998</v>
      </c>
      <c r="F101" s="40">
        <f t="shared" si="13"/>
        <v>1.1319999999999995</v>
      </c>
      <c r="G101" s="41">
        <f t="shared" si="15"/>
        <v>5.379999999999998</v>
      </c>
      <c r="H101" s="42">
        <f t="shared" si="14"/>
        <v>1.1319999999999995</v>
      </c>
    </row>
    <row r="102" spans="1:8" ht="15">
      <c r="A102" s="31">
        <f t="shared" si="8"/>
        <v>4.389999999999992</v>
      </c>
      <c r="B102" s="32">
        <f t="shared" si="10"/>
        <v>1.1259999999999994</v>
      </c>
      <c r="C102" s="33">
        <f t="shared" si="11"/>
        <v>5.089999999999998</v>
      </c>
      <c r="D102" s="34">
        <f t="shared" si="12"/>
        <v>1.1259999999999994</v>
      </c>
      <c r="E102" s="39">
        <f t="shared" si="11"/>
        <v>5.089999999999998</v>
      </c>
      <c r="F102" s="40">
        <f t="shared" si="13"/>
        <v>1.1259999999999994</v>
      </c>
      <c r="G102" s="41">
        <f t="shared" si="15"/>
        <v>5.389999999999998</v>
      </c>
      <c r="H102" s="42">
        <f t="shared" si="14"/>
        <v>1.1259999999999994</v>
      </c>
    </row>
    <row r="103" spans="1:8" ht="15">
      <c r="A103" s="31">
        <f t="shared" si="8"/>
        <v>4.3999999999999915</v>
      </c>
      <c r="B103" s="32">
        <f t="shared" si="10"/>
        <v>1.1199999999999994</v>
      </c>
      <c r="C103" s="33">
        <f t="shared" si="11"/>
        <v>5.099999999999998</v>
      </c>
      <c r="D103" s="34">
        <f t="shared" si="12"/>
        <v>1.1199999999999994</v>
      </c>
      <c r="E103" s="39">
        <f t="shared" si="11"/>
        <v>5.099999999999998</v>
      </c>
      <c r="F103" s="40">
        <f t="shared" si="13"/>
        <v>1.1199999999999994</v>
      </c>
      <c r="G103" s="41">
        <f t="shared" si="15"/>
        <v>5.399999999999998</v>
      </c>
      <c r="H103" s="42">
        <f t="shared" si="14"/>
        <v>1.1199999999999994</v>
      </c>
    </row>
    <row r="104" spans="1:8" ht="15">
      <c r="A104" s="31">
        <f t="shared" si="8"/>
        <v>4.409999999999991</v>
      </c>
      <c r="B104" s="32">
        <f t="shared" si="10"/>
        <v>1.1139999999999994</v>
      </c>
      <c r="C104" s="33">
        <f t="shared" si="11"/>
        <v>5.109999999999998</v>
      </c>
      <c r="D104" s="34">
        <f t="shared" si="12"/>
        <v>1.1139999999999994</v>
      </c>
      <c r="E104" s="39">
        <f t="shared" si="11"/>
        <v>5.109999999999998</v>
      </c>
      <c r="F104" s="40">
        <f t="shared" si="13"/>
        <v>1.1139999999999994</v>
      </c>
      <c r="G104" s="41">
        <f t="shared" si="15"/>
        <v>5.4099999999999975</v>
      </c>
      <c r="H104" s="42">
        <f t="shared" si="14"/>
        <v>1.1139999999999994</v>
      </c>
    </row>
    <row r="105" spans="1:8" ht="15">
      <c r="A105" s="31">
        <f t="shared" si="8"/>
        <v>4.419999999999991</v>
      </c>
      <c r="B105" s="32">
        <f t="shared" si="10"/>
        <v>1.1079999999999994</v>
      </c>
      <c r="C105" s="33">
        <f t="shared" si="11"/>
        <v>5.119999999999997</v>
      </c>
      <c r="D105" s="34">
        <f t="shared" si="12"/>
        <v>1.1079999999999994</v>
      </c>
      <c r="E105" s="39">
        <f t="shared" si="11"/>
        <v>5.119999999999997</v>
      </c>
      <c r="F105" s="40">
        <f t="shared" si="13"/>
        <v>1.1079999999999994</v>
      </c>
      <c r="G105" s="41">
        <f t="shared" si="15"/>
        <v>5.419999999999997</v>
      </c>
      <c r="H105" s="42">
        <f t="shared" si="14"/>
        <v>1.1079999999999994</v>
      </c>
    </row>
    <row r="106" spans="1:8" ht="15">
      <c r="A106" s="31">
        <f t="shared" si="8"/>
        <v>4.429999999999991</v>
      </c>
      <c r="B106" s="32">
        <f t="shared" si="10"/>
        <v>1.1019999999999994</v>
      </c>
      <c r="C106" s="33">
        <f t="shared" si="11"/>
        <v>5.129999999999997</v>
      </c>
      <c r="D106" s="34">
        <f t="shared" si="12"/>
        <v>1.1019999999999994</v>
      </c>
      <c r="E106" s="39">
        <f t="shared" si="11"/>
        <v>5.129999999999997</v>
      </c>
      <c r="F106" s="40">
        <f t="shared" si="13"/>
        <v>1.1019999999999994</v>
      </c>
      <c r="G106" s="41">
        <f t="shared" si="15"/>
        <v>5.429999999999997</v>
      </c>
      <c r="H106" s="42">
        <f t="shared" si="14"/>
        <v>1.1019999999999994</v>
      </c>
    </row>
    <row r="107" spans="1:8" ht="15">
      <c r="A107" s="31">
        <f t="shared" si="8"/>
        <v>4.439999999999991</v>
      </c>
      <c r="B107" s="32">
        <f t="shared" si="10"/>
        <v>1.0959999999999994</v>
      </c>
      <c r="C107" s="33">
        <f t="shared" si="11"/>
        <v>5.139999999999997</v>
      </c>
      <c r="D107" s="34">
        <f t="shared" si="12"/>
        <v>1.0959999999999994</v>
      </c>
      <c r="E107" s="39">
        <f t="shared" si="11"/>
        <v>5.139999999999997</v>
      </c>
      <c r="F107" s="40">
        <f t="shared" si="13"/>
        <v>1.0959999999999994</v>
      </c>
      <c r="G107" s="41">
        <f t="shared" si="15"/>
        <v>5.439999999999997</v>
      </c>
      <c r="H107" s="42">
        <f t="shared" si="14"/>
        <v>1.0959999999999994</v>
      </c>
    </row>
    <row r="108" spans="1:8" ht="15">
      <c r="A108" s="31">
        <f t="shared" si="8"/>
        <v>4.44999999999999</v>
      </c>
      <c r="B108" s="32">
        <f t="shared" si="10"/>
        <v>1.0899999999999994</v>
      </c>
      <c r="C108" s="33">
        <f t="shared" si="11"/>
        <v>5.149999999999997</v>
      </c>
      <c r="D108" s="34">
        <f t="shared" si="12"/>
        <v>1.0899999999999994</v>
      </c>
      <c r="E108" s="39">
        <f t="shared" si="11"/>
        <v>5.149999999999997</v>
      </c>
      <c r="F108" s="40">
        <f t="shared" si="13"/>
        <v>1.0899999999999994</v>
      </c>
      <c r="G108" s="41">
        <f t="shared" si="15"/>
        <v>5.449999999999997</v>
      </c>
      <c r="H108" s="42">
        <f t="shared" si="14"/>
        <v>1.0899999999999994</v>
      </c>
    </row>
    <row r="109" spans="1:8" ht="15">
      <c r="A109" s="31">
        <f t="shared" si="8"/>
        <v>4.45999999999999</v>
      </c>
      <c r="B109" s="32">
        <f t="shared" si="10"/>
        <v>1.0839999999999994</v>
      </c>
      <c r="C109" s="33">
        <f t="shared" si="11"/>
        <v>5.159999999999997</v>
      </c>
      <c r="D109" s="34">
        <f t="shared" si="12"/>
        <v>1.0839999999999994</v>
      </c>
      <c r="E109" s="39">
        <f t="shared" si="11"/>
        <v>5.159999999999997</v>
      </c>
      <c r="F109" s="40">
        <f t="shared" si="13"/>
        <v>1.0839999999999994</v>
      </c>
      <c r="G109" s="41">
        <f t="shared" si="15"/>
        <v>5.459999999999996</v>
      </c>
      <c r="H109" s="42">
        <f t="shared" si="14"/>
        <v>1.0839999999999994</v>
      </c>
    </row>
    <row r="110" spans="1:8" ht="15">
      <c r="A110" s="31">
        <f t="shared" si="8"/>
        <v>4.46999999999999</v>
      </c>
      <c r="B110" s="32">
        <f t="shared" si="10"/>
        <v>1.0779999999999994</v>
      </c>
      <c r="C110" s="33">
        <f t="shared" si="11"/>
        <v>5.169999999999996</v>
      </c>
      <c r="D110" s="34">
        <f t="shared" si="12"/>
        <v>1.0779999999999994</v>
      </c>
      <c r="E110" s="39">
        <f t="shared" si="11"/>
        <v>5.169999999999996</v>
      </c>
      <c r="F110" s="40">
        <f t="shared" si="13"/>
        <v>1.0779999999999994</v>
      </c>
      <c r="G110" s="41">
        <f t="shared" si="15"/>
        <v>5.469999999999996</v>
      </c>
      <c r="H110" s="42">
        <f t="shared" si="14"/>
        <v>1.0779999999999994</v>
      </c>
    </row>
    <row r="111" spans="1:12" ht="15">
      <c r="A111" s="31">
        <f t="shared" si="8"/>
        <v>4.47999999999999</v>
      </c>
      <c r="B111" s="32">
        <f t="shared" si="10"/>
        <v>1.0719999999999994</v>
      </c>
      <c r="C111" s="33">
        <f t="shared" si="11"/>
        <v>5.179999999999996</v>
      </c>
      <c r="D111" s="34">
        <f t="shared" si="12"/>
        <v>1.0719999999999994</v>
      </c>
      <c r="E111" s="39">
        <f t="shared" si="11"/>
        <v>5.179999999999996</v>
      </c>
      <c r="F111" s="40">
        <f t="shared" si="13"/>
        <v>1.0719999999999994</v>
      </c>
      <c r="G111" s="41">
        <f t="shared" si="15"/>
        <v>5.479999999999996</v>
      </c>
      <c r="H111" s="42">
        <f t="shared" si="14"/>
        <v>1.0719999999999994</v>
      </c>
      <c r="L111" s="36"/>
    </row>
    <row r="112" spans="1:8" ht="15">
      <c r="A112" s="31">
        <f t="shared" si="8"/>
        <v>4.4899999999999896</v>
      </c>
      <c r="B112" s="32">
        <f t="shared" si="10"/>
        <v>1.0659999999999994</v>
      </c>
      <c r="C112" s="33">
        <f t="shared" si="11"/>
        <v>5.189999999999996</v>
      </c>
      <c r="D112" s="34">
        <f t="shared" si="12"/>
        <v>1.0659999999999994</v>
      </c>
      <c r="E112" s="39">
        <f t="shared" si="11"/>
        <v>5.189999999999996</v>
      </c>
      <c r="F112" s="40">
        <f t="shared" si="13"/>
        <v>1.0659999999999994</v>
      </c>
      <c r="G112" s="41">
        <f t="shared" si="15"/>
        <v>5.489999999999996</v>
      </c>
      <c r="H112" s="42">
        <f t="shared" si="14"/>
        <v>1.0659999999999994</v>
      </c>
    </row>
    <row r="113" spans="1:8" ht="15">
      <c r="A113" s="31">
        <f t="shared" si="8"/>
        <v>4.499999999999989</v>
      </c>
      <c r="B113" s="32">
        <f t="shared" si="10"/>
        <v>1.0599999999999994</v>
      </c>
      <c r="C113" s="33">
        <f t="shared" si="11"/>
        <v>5.199999999999996</v>
      </c>
      <c r="D113" s="34">
        <f t="shared" si="12"/>
        <v>1.0599999999999994</v>
      </c>
      <c r="E113" s="39">
        <f t="shared" si="11"/>
        <v>5.199999999999996</v>
      </c>
      <c r="F113" s="40">
        <f t="shared" si="13"/>
        <v>1.0599999999999994</v>
      </c>
      <c r="G113" s="41">
        <f t="shared" si="15"/>
        <v>5.499999999999996</v>
      </c>
      <c r="H113" s="42">
        <f t="shared" si="14"/>
        <v>1.0599999999999994</v>
      </c>
    </row>
    <row r="114" spans="1:10" ht="15">
      <c r="A114" s="31">
        <f t="shared" si="8"/>
        <v>4.509999999999989</v>
      </c>
      <c r="B114" s="32">
        <f t="shared" si="10"/>
        <v>1.0539999999999994</v>
      </c>
      <c r="C114" s="33">
        <f t="shared" si="11"/>
        <v>5.2099999999999955</v>
      </c>
      <c r="D114" s="34">
        <f t="shared" si="12"/>
        <v>1.0539999999999994</v>
      </c>
      <c r="E114" s="39">
        <f t="shared" si="11"/>
        <v>5.2099999999999955</v>
      </c>
      <c r="F114" s="40">
        <f t="shared" si="13"/>
        <v>1.0539999999999994</v>
      </c>
      <c r="G114" s="41">
        <f t="shared" si="15"/>
        <v>5.509999999999995</v>
      </c>
      <c r="H114" s="42">
        <f t="shared" si="14"/>
        <v>1.0539999999999994</v>
      </c>
      <c r="J114" s="50"/>
    </row>
    <row r="115" spans="1:8" ht="15">
      <c r="A115" s="31">
        <f t="shared" si="8"/>
        <v>4.519999999999989</v>
      </c>
      <c r="B115" s="32">
        <f t="shared" si="10"/>
        <v>1.0479999999999994</v>
      </c>
      <c r="C115" s="33">
        <f t="shared" si="11"/>
        <v>5.219999999999995</v>
      </c>
      <c r="D115" s="34">
        <f t="shared" si="12"/>
        <v>1.0479999999999994</v>
      </c>
      <c r="E115" s="39">
        <f t="shared" si="11"/>
        <v>5.219999999999995</v>
      </c>
      <c r="F115" s="40">
        <f t="shared" si="13"/>
        <v>1.0479999999999994</v>
      </c>
      <c r="G115" s="41">
        <f t="shared" si="15"/>
        <v>5.519999999999995</v>
      </c>
      <c r="H115" s="42">
        <f t="shared" si="14"/>
        <v>1.0479999999999994</v>
      </c>
    </row>
    <row r="116" spans="1:8" ht="15">
      <c r="A116" s="31">
        <f t="shared" si="8"/>
        <v>4.529999999999989</v>
      </c>
      <c r="B116" s="32">
        <f t="shared" si="10"/>
        <v>1.0419999999999994</v>
      </c>
      <c r="C116" s="33">
        <f t="shared" si="11"/>
        <v>5.229999999999995</v>
      </c>
      <c r="D116" s="34">
        <f t="shared" si="12"/>
        <v>1.0419999999999994</v>
      </c>
      <c r="E116" s="39">
        <f t="shared" si="11"/>
        <v>5.229999999999995</v>
      </c>
      <c r="F116" s="40">
        <f t="shared" si="13"/>
        <v>1.0419999999999994</v>
      </c>
      <c r="G116" s="41">
        <f t="shared" si="15"/>
        <v>5.529999999999995</v>
      </c>
      <c r="H116" s="42">
        <f t="shared" si="14"/>
        <v>1.0419999999999994</v>
      </c>
    </row>
    <row r="117" spans="1:8" ht="15">
      <c r="A117" s="31">
        <f t="shared" si="8"/>
        <v>4.5399999999999885</v>
      </c>
      <c r="B117" s="32">
        <f t="shared" si="10"/>
        <v>1.0359999999999994</v>
      </c>
      <c r="C117" s="33">
        <f t="shared" si="11"/>
        <v>5.239999999999995</v>
      </c>
      <c r="D117" s="34">
        <f t="shared" si="12"/>
        <v>1.0359999999999994</v>
      </c>
      <c r="E117" s="39">
        <f t="shared" si="11"/>
        <v>5.239999999999995</v>
      </c>
      <c r="F117" s="40">
        <f t="shared" si="13"/>
        <v>1.0359999999999994</v>
      </c>
      <c r="G117" s="41">
        <f t="shared" si="15"/>
        <v>5.539999999999995</v>
      </c>
      <c r="H117" s="42">
        <f t="shared" si="14"/>
        <v>1.0359999999999994</v>
      </c>
    </row>
    <row r="118" spans="1:8" ht="15">
      <c r="A118" s="31">
        <f t="shared" si="8"/>
        <v>4.549999999999988</v>
      </c>
      <c r="B118" s="32">
        <f t="shared" si="10"/>
        <v>1.0299999999999994</v>
      </c>
      <c r="C118" s="33">
        <f t="shared" si="11"/>
        <v>5.249999999999995</v>
      </c>
      <c r="D118" s="34">
        <f t="shared" si="12"/>
        <v>1.0299999999999994</v>
      </c>
      <c r="E118" s="39">
        <f t="shared" si="11"/>
        <v>5.249999999999995</v>
      </c>
      <c r="F118" s="40">
        <f t="shared" si="13"/>
        <v>1.0299999999999994</v>
      </c>
      <c r="G118" s="41">
        <f t="shared" si="15"/>
        <v>5.5499999999999945</v>
      </c>
      <c r="H118" s="42">
        <f t="shared" si="14"/>
        <v>1.0299999999999994</v>
      </c>
    </row>
    <row r="119" spans="1:14" ht="15">
      <c r="A119" s="31">
        <f t="shared" si="8"/>
        <v>4.559999999999988</v>
      </c>
      <c r="B119" s="32">
        <f t="shared" si="10"/>
        <v>1.0239999999999994</v>
      </c>
      <c r="C119" s="33">
        <f t="shared" si="11"/>
        <v>5.2599999999999945</v>
      </c>
      <c r="D119" s="34">
        <f t="shared" si="12"/>
        <v>1.0239999999999994</v>
      </c>
      <c r="E119" s="39">
        <f t="shared" si="11"/>
        <v>5.2599999999999945</v>
      </c>
      <c r="F119" s="40">
        <f t="shared" si="13"/>
        <v>1.0239999999999994</v>
      </c>
      <c r="G119" s="41">
        <f t="shared" si="15"/>
        <v>5.559999999999994</v>
      </c>
      <c r="H119" s="42">
        <f t="shared" si="14"/>
        <v>1.0239999999999994</v>
      </c>
      <c r="N119" s="36"/>
    </row>
    <row r="120" spans="1:8" ht="15">
      <c r="A120" s="31">
        <f t="shared" si="8"/>
        <v>4.569999999999988</v>
      </c>
      <c r="B120" s="32">
        <f t="shared" si="10"/>
        <v>1.0179999999999993</v>
      </c>
      <c r="C120" s="33">
        <f t="shared" si="11"/>
        <v>5.269999999999994</v>
      </c>
      <c r="D120" s="34">
        <f t="shared" si="12"/>
        <v>1.0179999999999993</v>
      </c>
      <c r="E120" s="39">
        <f t="shared" si="11"/>
        <v>5.269999999999994</v>
      </c>
      <c r="F120" s="40">
        <f t="shared" si="13"/>
        <v>1.0179999999999993</v>
      </c>
      <c r="G120" s="41">
        <f t="shared" si="15"/>
        <v>5.569999999999994</v>
      </c>
      <c r="H120" s="42">
        <f t="shared" si="14"/>
        <v>1.0179999999999993</v>
      </c>
    </row>
    <row r="121" spans="1:8" ht="15">
      <c r="A121" s="31">
        <f t="shared" si="8"/>
        <v>4.579999999999988</v>
      </c>
      <c r="B121" s="32">
        <f t="shared" si="10"/>
        <v>1.0119999999999993</v>
      </c>
      <c r="C121" s="33">
        <f t="shared" si="11"/>
        <v>5.279999999999994</v>
      </c>
      <c r="D121" s="34">
        <f t="shared" si="12"/>
        <v>1.0119999999999993</v>
      </c>
      <c r="E121" s="39">
        <f t="shared" si="11"/>
        <v>5.279999999999994</v>
      </c>
      <c r="F121" s="40">
        <f t="shared" si="13"/>
        <v>1.0119999999999993</v>
      </c>
      <c r="G121" s="41">
        <f t="shared" si="15"/>
        <v>5.579999999999994</v>
      </c>
      <c r="H121" s="42">
        <f t="shared" si="14"/>
        <v>1.0119999999999993</v>
      </c>
    </row>
    <row r="122" spans="1:8" ht="15">
      <c r="A122" s="31">
        <f t="shared" si="8"/>
        <v>4.589999999999987</v>
      </c>
      <c r="B122" s="32">
        <f t="shared" si="10"/>
        <v>1.0059999999999993</v>
      </c>
      <c r="C122" s="33">
        <f t="shared" si="11"/>
        <v>5.289999999999994</v>
      </c>
      <c r="D122" s="34">
        <f t="shared" si="12"/>
        <v>1.0059999999999993</v>
      </c>
      <c r="E122" s="39">
        <f t="shared" si="11"/>
        <v>5.289999999999994</v>
      </c>
      <c r="F122" s="40">
        <f t="shared" si="13"/>
        <v>1.0059999999999993</v>
      </c>
      <c r="G122" s="41">
        <f t="shared" si="15"/>
        <v>5.589999999999994</v>
      </c>
      <c r="H122" s="42">
        <f t="shared" si="14"/>
        <v>1.0059999999999993</v>
      </c>
    </row>
    <row r="123" spans="1:8" ht="15">
      <c r="A123" s="31">
        <v>5</v>
      </c>
      <c r="B123" s="32">
        <f t="shared" si="10"/>
        <v>0.9999999999999993</v>
      </c>
      <c r="C123" s="33">
        <f t="shared" si="11"/>
        <v>5.299999999999994</v>
      </c>
      <c r="D123" s="34">
        <f t="shared" si="12"/>
        <v>0.9999999999999993</v>
      </c>
      <c r="E123" s="39">
        <f t="shared" si="11"/>
        <v>5.299999999999994</v>
      </c>
      <c r="F123" s="40">
        <f t="shared" si="13"/>
        <v>0.9999999999999993</v>
      </c>
      <c r="G123" s="41">
        <v>6</v>
      </c>
      <c r="H123" s="42">
        <f t="shared" si="14"/>
        <v>0.9999999999999993</v>
      </c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">
      <selection activeCell="C31" sqref="C31"/>
    </sheetView>
  </sheetViews>
  <sheetFormatPr defaultColWidth="9.140625" defaultRowHeight="18.75" customHeight="1"/>
  <cols>
    <col min="1" max="1" width="4.00390625" style="0" customWidth="1"/>
    <col min="3" max="3" width="90.57421875" style="0" customWidth="1"/>
    <col min="4" max="5" width="10.57421875" style="0" customWidth="1"/>
  </cols>
  <sheetData>
    <row r="1" spans="2:4" ht="35.25" customHeight="1">
      <c r="B1" s="23"/>
      <c r="C1" s="197" t="s">
        <v>181</v>
      </c>
      <c r="D1" s="23"/>
    </row>
    <row r="2" spans="2:4" ht="15" customHeight="1">
      <c r="B2" s="23"/>
      <c r="C2" s="58"/>
      <c r="D2" s="23"/>
    </row>
    <row r="3" spans="2:13" ht="18.75" customHeight="1">
      <c r="B3" s="62" t="s">
        <v>91</v>
      </c>
      <c r="C3" s="68" t="s">
        <v>70</v>
      </c>
      <c r="D3" s="57"/>
      <c r="E3" s="57"/>
      <c r="F3" s="57"/>
      <c r="G3" s="57"/>
      <c r="H3" s="57"/>
      <c r="I3" s="1"/>
      <c r="J3" s="1"/>
      <c r="L3" s="1"/>
      <c r="M3" s="1"/>
    </row>
    <row r="4" spans="2:13" ht="18.75" customHeight="1">
      <c r="B4" s="62"/>
      <c r="C4" s="68" t="s">
        <v>180</v>
      </c>
      <c r="D4" s="61"/>
      <c r="E4" s="56"/>
      <c r="F4" s="56"/>
      <c r="G4" s="56"/>
      <c r="H4" s="56"/>
      <c r="I4" s="1"/>
      <c r="J4" s="1"/>
      <c r="L4" s="1"/>
      <c r="M4" s="1"/>
    </row>
    <row r="5" spans="2:13" ht="18.75" customHeight="1">
      <c r="B5" s="63"/>
      <c r="C5" s="68" t="s">
        <v>41</v>
      </c>
      <c r="D5" s="56"/>
      <c r="E5" s="56"/>
      <c r="F5" s="56"/>
      <c r="G5" s="56"/>
      <c r="H5" s="56"/>
      <c r="I5" s="1"/>
      <c r="J5" s="1"/>
      <c r="L5" s="1"/>
      <c r="M5" s="1"/>
    </row>
    <row r="6" spans="2:13" ht="18.75" customHeight="1">
      <c r="B6" s="64"/>
      <c r="C6" s="68" t="s">
        <v>93</v>
      </c>
      <c r="D6" s="56"/>
      <c r="E6" s="56"/>
      <c r="F6" s="56"/>
      <c r="G6" s="56"/>
      <c r="H6" s="56"/>
      <c r="I6" s="1"/>
      <c r="J6" s="1"/>
      <c r="L6" s="1"/>
      <c r="M6" s="1"/>
    </row>
    <row r="7" spans="2:13" ht="18.75" customHeight="1">
      <c r="B7" s="64"/>
      <c r="C7" s="68"/>
      <c r="D7" s="56"/>
      <c r="E7" s="56"/>
      <c r="F7" s="56"/>
      <c r="G7" s="56"/>
      <c r="H7" s="56"/>
      <c r="I7" s="1"/>
      <c r="J7" s="1"/>
      <c r="L7" s="1"/>
      <c r="M7" s="1"/>
    </row>
    <row r="8" spans="2:4" ht="18.75" customHeight="1">
      <c r="B8" s="65" t="s">
        <v>92</v>
      </c>
      <c r="C8" s="68" t="s">
        <v>94</v>
      </c>
      <c r="D8" s="60"/>
    </row>
    <row r="9" spans="2:4" ht="18.75" customHeight="1">
      <c r="B9" s="63"/>
      <c r="C9" s="68" t="s">
        <v>95</v>
      </c>
      <c r="D9" s="60"/>
    </row>
    <row r="10" spans="2:4" ht="18.75" customHeight="1">
      <c r="B10" s="63"/>
      <c r="C10" s="69"/>
      <c r="D10" s="60"/>
    </row>
    <row r="11" spans="2:4" ht="18.75" customHeight="1">
      <c r="B11" s="65" t="s">
        <v>96</v>
      </c>
      <c r="C11" s="69" t="s">
        <v>98</v>
      </c>
      <c r="D11" s="60"/>
    </row>
    <row r="12" spans="2:4" ht="18.75" customHeight="1">
      <c r="B12" s="63"/>
      <c r="C12" s="69" t="s">
        <v>150</v>
      </c>
      <c r="D12" s="61"/>
    </row>
    <row r="13" spans="2:3" ht="18.75" customHeight="1">
      <c r="B13" s="66"/>
      <c r="C13" s="70"/>
    </row>
    <row r="14" spans="2:3" ht="18.75" customHeight="1">
      <c r="B14" s="67" t="s">
        <v>100</v>
      </c>
      <c r="C14" s="70" t="s">
        <v>178</v>
      </c>
    </row>
    <row r="15" spans="2:3" ht="18.75" customHeight="1">
      <c r="B15" s="66"/>
      <c r="C15" s="70" t="s">
        <v>179</v>
      </c>
    </row>
    <row r="16" spans="2:4" ht="18.75" customHeight="1">
      <c r="B16" s="66"/>
      <c r="C16" s="70" t="s">
        <v>162</v>
      </c>
      <c r="D16" s="59"/>
    </row>
    <row r="17" spans="2:4" ht="18.75" customHeight="1">
      <c r="B17" s="66"/>
      <c r="C17" s="70" t="s">
        <v>134</v>
      </c>
      <c r="D17" s="59"/>
    </row>
    <row r="18" spans="2:3" ht="18.75" customHeight="1">
      <c r="B18" s="66"/>
      <c r="C18" s="70"/>
    </row>
    <row r="19" spans="2:4" ht="18.75" customHeight="1">
      <c r="B19" s="67" t="s">
        <v>99</v>
      </c>
      <c r="C19" s="70" t="s">
        <v>102</v>
      </c>
      <c r="D19" s="5"/>
    </row>
    <row r="20" spans="3:4" ht="18.75" customHeight="1">
      <c r="C20" s="70" t="s">
        <v>103</v>
      </c>
      <c r="D20" s="195"/>
    </row>
    <row r="21" spans="3:4" ht="11.25" customHeight="1">
      <c r="C21" s="36" t="s">
        <v>173</v>
      </c>
      <c r="D21" s="196"/>
    </row>
    <row r="22" spans="3:4" ht="11.25" customHeight="1">
      <c r="C22" s="36" t="s">
        <v>168</v>
      </c>
      <c r="D22" s="196"/>
    </row>
    <row r="23" spans="3:4" ht="11.25" customHeight="1">
      <c r="C23" s="36" t="s">
        <v>174</v>
      </c>
      <c r="D23" s="196"/>
    </row>
    <row r="24" spans="3:4" ht="11.25" customHeight="1">
      <c r="C24" s="36" t="s">
        <v>175</v>
      </c>
      <c r="D24" s="196"/>
    </row>
    <row r="25" spans="3:4" ht="11.25" customHeight="1">
      <c r="C25" s="36" t="s">
        <v>176</v>
      </c>
      <c r="D25" s="196"/>
    </row>
    <row r="26" spans="3:4" ht="11.25" customHeight="1">
      <c r="C26" s="36" t="s">
        <v>177</v>
      </c>
      <c r="D26" s="196"/>
    </row>
    <row r="27" spans="3:4" ht="11.25" customHeight="1">
      <c r="C27" s="36" t="s">
        <v>172</v>
      </c>
      <c r="D27" s="196"/>
    </row>
    <row r="28" spans="3:4" ht="11.25" customHeight="1">
      <c r="C28" s="36" t="s">
        <v>171</v>
      </c>
      <c r="D28" s="196"/>
    </row>
    <row r="29" spans="3:4" ht="11.25" customHeight="1">
      <c r="C29" s="36" t="s">
        <v>170</v>
      </c>
      <c r="D29" s="196"/>
    </row>
    <row r="30" spans="3:4" ht="11.25" customHeight="1">
      <c r="C30" s="36" t="s">
        <v>169</v>
      </c>
      <c r="D30" s="196"/>
    </row>
    <row r="31" spans="3:4" ht="18.75" customHeight="1">
      <c r="C31" s="70" t="s">
        <v>101</v>
      </c>
      <c r="D31" s="171" t="s">
        <v>97</v>
      </c>
    </row>
    <row r="32" spans="3:4" ht="18.75" customHeight="1">
      <c r="C32" s="70"/>
      <c r="D32" s="59"/>
    </row>
    <row r="34" spans="2:4" ht="18.75" customHeight="1" thickBot="1">
      <c r="B34" s="65" t="s">
        <v>135</v>
      </c>
      <c r="C34" s="69" t="s">
        <v>104</v>
      </c>
      <c r="D34" s="60"/>
    </row>
    <row r="35" spans="2:13" ht="18.75" customHeight="1">
      <c r="B35" s="71" t="s">
        <v>46</v>
      </c>
      <c r="C35" s="74" t="s">
        <v>45</v>
      </c>
      <c r="D35" s="72"/>
      <c r="E35" s="72"/>
      <c r="F35" s="72"/>
      <c r="G35" s="72"/>
      <c r="H35" s="72"/>
      <c r="I35" s="72"/>
      <c r="J35" s="72"/>
      <c r="K35" s="73"/>
      <c r="L35" s="72"/>
      <c r="M35" s="24"/>
    </row>
    <row r="36" spans="2:13" ht="18.75" customHeight="1" thickBot="1">
      <c r="B36" s="51" t="s">
        <v>49</v>
      </c>
      <c r="C36" s="75" t="s">
        <v>47</v>
      </c>
      <c r="D36" s="72"/>
      <c r="E36" s="72"/>
      <c r="F36" s="72"/>
      <c r="G36" s="72"/>
      <c r="H36" s="72"/>
      <c r="I36" s="72"/>
      <c r="J36" s="72"/>
      <c r="K36" s="73"/>
      <c r="L36" s="72"/>
      <c r="M36" s="24"/>
    </row>
    <row r="37" spans="2:13" ht="18.75" customHeight="1" thickBot="1" thickTop="1">
      <c r="B37" s="52" t="s">
        <v>50</v>
      </c>
      <c r="C37" s="126" t="s">
        <v>44</v>
      </c>
      <c r="D37" s="72"/>
      <c r="E37" s="72"/>
      <c r="F37" s="72"/>
      <c r="G37" s="72"/>
      <c r="H37" s="72"/>
      <c r="I37" s="72"/>
      <c r="J37" s="72"/>
      <c r="K37" s="73"/>
      <c r="L37" s="72"/>
      <c r="M37" s="24"/>
    </row>
    <row r="38" spans="2:13" ht="18.75" customHeight="1" thickBot="1" thickTop="1">
      <c r="B38" s="53" t="s">
        <v>51</v>
      </c>
      <c r="C38" s="76" t="s">
        <v>42</v>
      </c>
      <c r="D38" s="72"/>
      <c r="E38" s="72"/>
      <c r="F38" s="72"/>
      <c r="G38" s="72"/>
      <c r="H38" s="72"/>
      <c r="I38" s="72"/>
      <c r="J38" s="72"/>
      <c r="K38" s="73"/>
      <c r="L38" s="72"/>
      <c r="M38" s="24"/>
    </row>
    <row r="39" spans="2:13" ht="18.75" customHeight="1" thickBot="1" thickTop="1">
      <c r="B39" s="54" t="s">
        <v>52</v>
      </c>
      <c r="C39" s="76" t="s">
        <v>43</v>
      </c>
      <c r="D39" s="72"/>
      <c r="E39" s="72"/>
      <c r="F39" s="72"/>
      <c r="G39" s="72"/>
      <c r="H39" s="72"/>
      <c r="I39" s="72"/>
      <c r="J39" s="72"/>
      <c r="K39" s="73"/>
      <c r="L39" s="72"/>
      <c r="M39" s="24"/>
    </row>
    <row r="40" spans="2:13" ht="18.75" customHeight="1" thickBot="1" thickTop="1">
      <c r="B40" s="55" t="s">
        <v>105</v>
      </c>
      <c r="C40" s="77" t="s">
        <v>48</v>
      </c>
      <c r="D40" s="72"/>
      <c r="E40" s="72"/>
      <c r="F40" s="72"/>
      <c r="G40" s="72"/>
      <c r="H40" s="72"/>
      <c r="I40" s="72"/>
      <c r="J40" s="72"/>
      <c r="K40" s="73"/>
      <c r="L40" s="72"/>
      <c r="M40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2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23.00390625" style="0" customWidth="1"/>
    <col min="4" max="4" width="2.57421875" style="1" customWidth="1"/>
    <col min="5" max="5" width="13.7109375" style="1" customWidth="1"/>
    <col min="6" max="9" width="7.57421875" style="1" customWidth="1"/>
    <col min="10" max="10" width="8.8515625" style="1" customWidth="1"/>
    <col min="11" max="13" width="7.57421875" style="1" customWidth="1"/>
    <col min="14" max="16" width="7.57421875" style="0" customWidth="1"/>
    <col min="17" max="30" width="7.57421875" style="1" customWidth="1"/>
    <col min="31" max="31" width="2.57421875" style="0" customWidth="1"/>
    <col min="32" max="32" width="12.57421875" style="0" customWidth="1"/>
    <col min="33" max="33" width="2.00390625" style="0" customWidth="1"/>
    <col min="37" max="37" width="13.140625" style="0" customWidth="1"/>
    <col min="39" max="39" width="9.00390625" style="5" customWidth="1"/>
  </cols>
  <sheetData>
    <row r="1" ht="7.5" customHeight="1" thickBot="1"/>
    <row r="2" spans="1:37" ht="20.25" customHeight="1" thickTop="1">
      <c r="A2" s="27"/>
      <c r="B2" s="265" t="s">
        <v>90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7"/>
      <c r="AG2" s="25"/>
      <c r="AH2" s="264" t="s">
        <v>166</v>
      </c>
      <c r="AI2" s="264"/>
      <c r="AJ2" s="264"/>
      <c r="AK2" s="178"/>
    </row>
    <row r="3" spans="1:37" ht="8.25" customHeight="1">
      <c r="A3" s="27"/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70"/>
      <c r="AG3" s="26"/>
      <c r="AH3" s="161"/>
      <c r="AI3" s="161"/>
      <c r="AJ3" s="161"/>
      <c r="AK3" s="178"/>
    </row>
    <row r="4" spans="1:37" ht="22.5" customHeight="1" thickBot="1">
      <c r="A4" s="23"/>
      <c r="B4" s="108" t="s">
        <v>245</v>
      </c>
      <c r="C4" s="271" t="s">
        <v>182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109" t="s">
        <v>183</v>
      </c>
      <c r="AG4" s="23"/>
      <c r="AH4" s="161"/>
      <c r="AI4" s="161" t="s">
        <v>167</v>
      </c>
      <c r="AJ4" s="161"/>
      <c r="AK4" s="178"/>
    </row>
    <row r="5" spans="2:37" ht="9.75" customHeight="1" thickTop="1">
      <c r="B5" s="23"/>
      <c r="F5" s="38"/>
      <c r="G5" s="38"/>
      <c r="K5" s="238"/>
      <c r="L5" s="238"/>
      <c r="S5" s="238"/>
      <c r="T5" s="238"/>
      <c r="AF5" s="23"/>
      <c r="AH5" s="161"/>
      <c r="AI5" s="167"/>
      <c r="AJ5" s="161"/>
      <c r="AK5" s="178"/>
    </row>
    <row r="6" spans="2:37" ht="15">
      <c r="B6" s="112"/>
      <c r="C6" s="1"/>
      <c r="D6" s="273" t="s">
        <v>119</v>
      </c>
      <c r="E6" s="273"/>
      <c r="F6" s="261" t="s">
        <v>271</v>
      </c>
      <c r="G6" s="275"/>
      <c r="H6" s="261" t="s">
        <v>272</v>
      </c>
      <c r="I6" s="275"/>
      <c r="J6" s="202" t="s">
        <v>265</v>
      </c>
      <c r="K6" s="261" t="s">
        <v>252</v>
      </c>
      <c r="L6" s="275"/>
      <c r="M6" s="261" t="s">
        <v>266</v>
      </c>
      <c r="N6" s="275"/>
      <c r="O6" s="261" t="s">
        <v>267</v>
      </c>
      <c r="P6" s="261"/>
      <c r="Q6" s="262" t="s">
        <v>268</v>
      </c>
      <c r="R6" s="262"/>
      <c r="S6" s="261" t="s">
        <v>269</v>
      </c>
      <c r="T6" s="261"/>
      <c r="U6" s="260" t="s">
        <v>270</v>
      </c>
      <c r="V6" s="260"/>
      <c r="W6" s="261" t="s">
        <v>280</v>
      </c>
      <c r="X6" s="261"/>
      <c r="Y6" s="260" t="s">
        <v>281</v>
      </c>
      <c r="Z6" s="260"/>
      <c r="AA6" s="261" t="s">
        <v>282</v>
      </c>
      <c r="AB6" s="261"/>
      <c r="AC6" s="260" t="s">
        <v>283</v>
      </c>
      <c r="AD6" s="260"/>
      <c r="AE6" s="146"/>
      <c r="AF6" s="110"/>
      <c r="AH6" s="161"/>
      <c r="AI6" s="161"/>
      <c r="AJ6" s="161"/>
      <c r="AK6" s="178"/>
    </row>
    <row r="7" spans="2:37" ht="52.5" customHeight="1">
      <c r="B7" s="114" t="s">
        <v>121</v>
      </c>
      <c r="C7" s="113" t="s">
        <v>27</v>
      </c>
      <c r="D7" s="263"/>
      <c r="E7" s="263"/>
      <c r="F7" s="263" t="s">
        <v>251</v>
      </c>
      <c r="G7" s="263"/>
      <c r="H7" s="263" t="s">
        <v>289</v>
      </c>
      <c r="I7" s="263"/>
      <c r="J7" s="37" t="s">
        <v>255</v>
      </c>
      <c r="K7" s="263" t="s">
        <v>258</v>
      </c>
      <c r="L7" s="263"/>
      <c r="M7" s="263" t="s">
        <v>260</v>
      </c>
      <c r="N7" s="263"/>
      <c r="O7" s="263" t="s">
        <v>261</v>
      </c>
      <c r="P7" s="263"/>
      <c r="Q7" s="263" t="s">
        <v>263</v>
      </c>
      <c r="R7" s="263"/>
      <c r="S7" s="259" t="s">
        <v>274</v>
      </c>
      <c r="T7" s="259"/>
      <c r="U7" s="259" t="s">
        <v>275</v>
      </c>
      <c r="V7" s="259"/>
      <c r="W7" s="259" t="s">
        <v>276</v>
      </c>
      <c r="X7" s="259"/>
      <c r="Y7" s="259" t="s">
        <v>279</v>
      </c>
      <c r="Z7" s="259"/>
      <c r="AA7" s="259" t="s">
        <v>290</v>
      </c>
      <c r="AB7" s="259"/>
      <c r="AC7" s="259" t="s">
        <v>285</v>
      </c>
      <c r="AD7" s="259"/>
      <c r="AE7" s="155"/>
      <c r="AF7" s="111" t="s">
        <v>40</v>
      </c>
      <c r="AH7" s="162" t="s">
        <v>161</v>
      </c>
      <c r="AI7" s="162" t="s">
        <v>164</v>
      </c>
      <c r="AJ7" s="162" t="s">
        <v>165</v>
      </c>
      <c r="AK7" s="178"/>
    </row>
    <row r="8" spans="2:37" ht="15" customHeight="1">
      <c r="B8" s="257" t="s">
        <v>72</v>
      </c>
      <c r="C8" s="257"/>
      <c r="D8" s="253" t="s">
        <v>286</v>
      </c>
      <c r="E8" s="253"/>
      <c r="F8" s="255" t="s">
        <v>256</v>
      </c>
      <c r="G8" s="255"/>
      <c r="H8" s="254" t="s">
        <v>253</v>
      </c>
      <c r="I8" s="254"/>
      <c r="J8" s="198" t="s">
        <v>254</v>
      </c>
      <c r="K8" s="254" t="s">
        <v>257</v>
      </c>
      <c r="L8" s="254"/>
      <c r="M8" s="254" t="s">
        <v>259</v>
      </c>
      <c r="N8" s="254"/>
      <c r="O8" s="254" t="s">
        <v>262</v>
      </c>
      <c r="P8" s="254"/>
      <c r="Q8" s="255" t="s">
        <v>264</v>
      </c>
      <c r="R8" s="255"/>
      <c r="S8" s="256" t="s">
        <v>161</v>
      </c>
      <c r="T8" s="258"/>
      <c r="U8" s="258" t="s">
        <v>273</v>
      </c>
      <c r="V8" s="258"/>
      <c r="W8" s="258" t="s">
        <v>277</v>
      </c>
      <c r="X8" s="258"/>
      <c r="Y8" s="258" t="s">
        <v>278</v>
      </c>
      <c r="Z8" s="258"/>
      <c r="AA8" s="258" t="s">
        <v>284</v>
      </c>
      <c r="AB8" s="258"/>
      <c r="AC8" s="258" t="s">
        <v>220</v>
      </c>
      <c r="AD8" s="258"/>
      <c r="AE8" s="156"/>
      <c r="AF8" s="111"/>
      <c r="AH8" s="178"/>
      <c r="AI8" s="178"/>
      <c r="AJ8" s="178"/>
      <c r="AK8" s="178"/>
    </row>
    <row r="9" spans="2:37" ht="15" customHeight="1">
      <c r="B9" s="29"/>
      <c r="C9" s="30"/>
      <c r="D9" s="253"/>
      <c r="E9" s="253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153"/>
      <c r="AF9" s="111"/>
      <c r="AH9" s="178"/>
      <c r="AI9" s="178"/>
      <c r="AJ9" s="178"/>
      <c r="AK9" s="178"/>
    </row>
    <row r="10" spans="2:37" ht="13.5" customHeight="1">
      <c r="B10" s="44"/>
      <c r="C10" s="45"/>
      <c r="E10" s="20"/>
      <c r="F10" s="44" t="s">
        <v>123</v>
      </c>
      <c r="G10" s="44" t="s">
        <v>124</v>
      </c>
      <c r="H10" s="44" t="s">
        <v>123</v>
      </c>
      <c r="I10" s="44" t="s">
        <v>124</v>
      </c>
      <c r="J10" s="44" t="s">
        <v>124</v>
      </c>
      <c r="K10" s="44" t="s">
        <v>123</v>
      </c>
      <c r="L10" s="44" t="s">
        <v>124</v>
      </c>
      <c r="M10" s="44" t="s">
        <v>123</v>
      </c>
      <c r="N10" s="44" t="s">
        <v>124</v>
      </c>
      <c r="O10" s="44" t="s">
        <v>123</v>
      </c>
      <c r="P10" s="44" t="s">
        <v>124</v>
      </c>
      <c r="Q10" s="44" t="s">
        <v>123</v>
      </c>
      <c r="R10" s="44" t="s">
        <v>124</v>
      </c>
      <c r="S10" s="44" t="s">
        <v>123</v>
      </c>
      <c r="T10" s="44" t="s">
        <v>124</v>
      </c>
      <c r="U10" s="44" t="s">
        <v>123</v>
      </c>
      <c r="V10" s="44" t="s">
        <v>124</v>
      </c>
      <c r="W10" s="44" t="s">
        <v>123</v>
      </c>
      <c r="X10" s="44" t="s">
        <v>124</v>
      </c>
      <c r="Y10" s="44" t="s">
        <v>123</v>
      </c>
      <c r="Z10" s="44" t="s">
        <v>124</v>
      </c>
      <c r="AA10" s="44" t="s">
        <v>123</v>
      </c>
      <c r="AB10" s="44" t="s">
        <v>124</v>
      </c>
      <c r="AC10" s="44" t="s">
        <v>123</v>
      </c>
      <c r="AD10" s="44" t="s">
        <v>124</v>
      </c>
      <c r="AE10" s="154"/>
      <c r="AF10" s="5"/>
      <c r="AH10" s="178"/>
      <c r="AI10" s="178"/>
      <c r="AJ10" s="178"/>
      <c r="AK10" s="178"/>
    </row>
    <row r="11" spans="2:37" ht="17.25" customHeight="1">
      <c r="B11" s="247" t="s">
        <v>0</v>
      </c>
      <c r="C11" s="245" t="s">
        <v>58</v>
      </c>
      <c r="D11" s="120"/>
      <c r="E11" s="121">
        <f>229.1484+8</f>
        <v>237.1484</v>
      </c>
      <c r="F11" s="123"/>
      <c r="G11" s="35"/>
      <c r="H11" s="229">
        <v>4.28</v>
      </c>
      <c r="I11" s="226">
        <f>21.1*(LOOKUP(H11,Performance2013!$A$1:$A$123,Performance2013!$B$1:$B$123))</f>
        <v>25.151199999999992</v>
      </c>
      <c r="J11" s="204"/>
      <c r="K11" s="129">
        <v>4.5</v>
      </c>
      <c r="L11" s="201">
        <f>33.25*(LOOKUP(K11,Performance2013!$E$1:$E$123,Performance2013!$F$1:$F$123))</f>
        <v>41.22999999999998</v>
      </c>
      <c r="M11" s="207"/>
      <c r="N11" s="208"/>
      <c r="O11" s="129">
        <v>4.25</v>
      </c>
      <c r="P11" s="201">
        <f>21.1*(LOOKUP(O11,Performance2013!$A$1:$A$123,Performance2013!$B$1:$B$123))</f>
        <v>25.53099999999999</v>
      </c>
      <c r="Q11" s="207"/>
      <c r="R11" s="208"/>
      <c r="S11" s="129">
        <v>4.11</v>
      </c>
      <c r="T11" s="201">
        <f>10*(LOOKUP(S11,Performance2013!$A$1:$A$123,Performance2013!$B$1:$B$123))</f>
        <v>12.939999999999996</v>
      </c>
      <c r="U11" s="211">
        <v>4.53</v>
      </c>
      <c r="V11" s="208">
        <f>42.2*(LOOKUP(U11,Performance2013!$E$1:$E$123,Performance2013!$F$1:$F$123))</f>
        <v>51.56839999999998</v>
      </c>
      <c r="W11" s="123">
        <v>4.1</v>
      </c>
      <c r="X11" s="201">
        <f>12.5*(LOOKUP(W11,Performance2013!$A$1:$A$123,Performance2013!$B$1:$B$123))</f>
        <v>16.249999999999996</v>
      </c>
      <c r="Y11" s="226"/>
      <c r="Z11" s="226"/>
      <c r="AA11" s="201"/>
      <c r="AB11" s="201"/>
      <c r="AC11" s="211"/>
      <c r="AD11" s="208"/>
      <c r="AE11" s="137"/>
      <c r="AF11" s="119">
        <f aca="true" t="shared" si="0" ref="AF11:AF53">E11+G11+I11+J11+L11+N11+P11+R11+T11+V11+X11+Z11+AB11+AD11</f>
        <v>409.81899999999996</v>
      </c>
      <c r="AG11" s="5"/>
      <c r="AH11" s="239">
        <v>18</v>
      </c>
      <c r="AI11" s="235">
        <v>22</v>
      </c>
      <c r="AJ11" s="233">
        <v>12</v>
      </c>
      <c r="AK11" s="232">
        <f aca="true" t="shared" si="1" ref="AK11:AK53">AF11+AH11+AI11+AJ11</f>
        <v>461.81899999999996</v>
      </c>
    </row>
    <row r="12" spans="2:37" ht="17.25" customHeight="1">
      <c r="B12" s="247" t="s">
        <v>1</v>
      </c>
      <c r="C12" s="246" t="s">
        <v>129</v>
      </c>
      <c r="D12" s="115"/>
      <c r="E12" s="48">
        <v>175.90259999999995</v>
      </c>
      <c r="F12" s="124">
        <v>4.4</v>
      </c>
      <c r="G12" s="49">
        <f>10*LOOKUP(F12,Performance2013!$C$1:$C$123,Performance2013!$D$1:$D$123)</f>
        <v>12.999999999999996</v>
      </c>
      <c r="H12" s="124">
        <v>5.04</v>
      </c>
      <c r="I12" s="49">
        <f>21.1*LOOKUP(H12,Performance2013!$C$1:$C$123,Performance2013!$D$1:$D$123)</f>
        <v>24.39159999999999</v>
      </c>
      <c r="J12" s="49">
        <v>5.95</v>
      </c>
      <c r="K12" s="124">
        <v>4.43</v>
      </c>
      <c r="L12" s="49">
        <f>10*LOOKUP(K12,Performance2013!$C$1:$C$123,Performance2013!$D$1:$D$123)</f>
        <v>12.819999999999997</v>
      </c>
      <c r="M12" s="142"/>
      <c r="N12" s="49"/>
      <c r="O12" s="124">
        <v>4.55</v>
      </c>
      <c r="P12" s="49">
        <f>21.1*LOOKUP(O12,Performance2013!$C$1:$C$123,Performance2013!$D$1:$D$123)</f>
        <v>25.53099999999999</v>
      </c>
      <c r="Q12" s="124">
        <v>4.3</v>
      </c>
      <c r="R12" s="49">
        <f>13*LOOKUP(Q12,Performance2013!$C$1:$C$123,Performance2013!$D$1:$D$123)</f>
        <v>17.679999999999996</v>
      </c>
      <c r="S12" s="124"/>
      <c r="T12" s="49"/>
      <c r="U12" s="49"/>
      <c r="V12" s="49">
        <v>12</v>
      </c>
      <c r="W12" s="124">
        <v>4.32</v>
      </c>
      <c r="X12" s="49">
        <f>12.5*LOOKUP(W12,Performance2013!$C$1:$C$123,Performance2013!$D$1:$D$123)</f>
        <v>16.849999999999994</v>
      </c>
      <c r="Y12" s="124">
        <v>4.58</v>
      </c>
      <c r="Z12" s="49">
        <f>12.5*LOOKUP(Y12,Performance2013!$C$1:$C$123,Performance2013!$D$1:$D$123)</f>
        <v>14.899999999999993</v>
      </c>
      <c r="AA12" s="49"/>
      <c r="AB12" s="49">
        <v>4.5</v>
      </c>
      <c r="AC12" s="124"/>
      <c r="AD12" s="49"/>
      <c r="AE12" s="135"/>
      <c r="AF12" s="119">
        <f t="shared" si="0"/>
        <v>323.5251999999999</v>
      </c>
      <c r="AG12" s="5"/>
      <c r="AH12" s="239">
        <v>18</v>
      </c>
      <c r="AI12" s="235">
        <v>12</v>
      </c>
      <c r="AJ12" s="233"/>
      <c r="AK12" s="232">
        <f t="shared" si="1"/>
        <v>353.5251999999999</v>
      </c>
    </row>
    <row r="13" spans="2:37" ht="17.25" customHeight="1">
      <c r="B13" s="247" t="s">
        <v>2</v>
      </c>
      <c r="C13" s="245" t="s">
        <v>128</v>
      </c>
      <c r="D13" s="120"/>
      <c r="E13" s="121">
        <v>105.86499999999998</v>
      </c>
      <c r="F13" s="123"/>
      <c r="G13" s="35"/>
      <c r="H13" s="211">
        <v>4.38</v>
      </c>
      <c r="I13" s="200">
        <f>21.1*(LOOKUP(H13,Performance2013!$A$1:$A$123,Performance2013!$B$1:$B$123))+21.1*0.5</f>
        <v>34.435199999999995</v>
      </c>
      <c r="J13" s="203"/>
      <c r="K13" s="35"/>
      <c r="L13" s="35"/>
      <c r="M13" s="211">
        <v>4.57</v>
      </c>
      <c r="N13" s="200">
        <f>42.2*(LOOKUP(M13,Performance2013!$E$1:$E$123,Performance2013!$F$1:$F$123))+0.5*42.2</f>
        <v>71.65559999999999</v>
      </c>
      <c r="O13" s="123"/>
      <c r="P13" s="201"/>
      <c r="Q13" s="210"/>
      <c r="R13" s="207"/>
      <c r="S13" s="123"/>
      <c r="T13" s="201">
        <v>5</v>
      </c>
      <c r="U13" s="211">
        <v>5.21</v>
      </c>
      <c r="V13" s="208">
        <f>42.2*(LOOKUP(U13,Performance2013!$E$1:$E$123,Performance2013!$F$1:$F$123))</f>
        <v>44.47879999999998</v>
      </c>
      <c r="W13" s="201"/>
      <c r="X13" s="201"/>
      <c r="Y13" s="229">
        <v>4.37</v>
      </c>
      <c r="Z13" s="226">
        <f>15*(LOOKUP(Y13,Performance2013!$A$1:$A$123,Performance2013!$B$1:$B$123))</f>
        <v>17.069999999999993</v>
      </c>
      <c r="AA13" s="201"/>
      <c r="AB13" s="201">
        <v>4.5</v>
      </c>
      <c r="AC13" s="229">
        <v>4.45</v>
      </c>
      <c r="AD13" s="226">
        <f>10*(LOOKUP(AC13,Performance2013!$A$1:$A$123,Performance2013!$B$1:$B$123))</f>
        <v>10.899999999999995</v>
      </c>
      <c r="AE13" s="138"/>
      <c r="AF13" s="119">
        <f t="shared" si="0"/>
        <v>293.9045999999999</v>
      </c>
      <c r="AG13" s="5"/>
      <c r="AH13" s="239">
        <v>8</v>
      </c>
      <c r="AI13" s="235">
        <v>10</v>
      </c>
      <c r="AJ13" s="233">
        <v>8</v>
      </c>
      <c r="AK13" s="232">
        <f t="shared" si="1"/>
        <v>319.9045999999999</v>
      </c>
    </row>
    <row r="14" spans="2:37" ht="17.25" customHeight="1">
      <c r="B14" s="106" t="s">
        <v>3</v>
      </c>
      <c r="C14" s="46" t="s">
        <v>145</v>
      </c>
      <c r="D14" s="120"/>
      <c r="E14" s="121">
        <v>168.32659999999996</v>
      </c>
      <c r="F14" s="123">
        <v>5.42</v>
      </c>
      <c r="G14" s="35">
        <v>10</v>
      </c>
      <c r="H14" s="211">
        <v>5.47</v>
      </c>
      <c r="I14" s="207">
        <v>21.1</v>
      </c>
      <c r="J14" s="203">
        <v>5.95</v>
      </c>
      <c r="K14" s="129"/>
      <c r="L14" s="201"/>
      <c r="M14" s="210"/>
      <c r="N14" s="207"/>
      <c r="O14" s="123">
        <v>5.22</v>
      </c>
      <c r="P14" s="201">
        <v>21.1</v>
      </c>
      <c r="Q14" s="210">
        <v>5.15</v>
      </c>
      <c r="R14" s="207">
        <f>13*1.024</f>
        <v>13.312000000000001</v>
      </c>
      <c r="S14" s="129"/>
      <c r="T14" s="201">
        <v>5</v>
      </c>
      <c r="U14" s="208"/>
      <c r="V14" s="208"/>
      <c r="W14" s="225">
        <v>5.04</v>
      </c>
      <c r="X14" s="201">
        <f>1.078*12.5</f>
        <v>13.475000000000001</v>
      </c>
      <c r="Y14" s="230">
        <v>5.26</v>
      </c>
      <c r="Z14" s="226">
        <v>15</v>
      </c>
      <c r="AA14" s="201"/>
      <c r="AB14" s="201">
        <f>4.5+10.55</f>
        <v>15.05</v>
      </c>
      <c r="AC14" s="220"/>
      <c r="AD14" s="220">
        <v>10</v>
      </c>
      <c r="AE14" s="138"/>
      <c r="AF14" s="119">
        <f t="shared" si="0"/>
        <v>298.31359999999995</v>
      </c>
      <c r="AG14" s="5"/>
      <c r="AH14" s="239"/>
      <c r="AI14" s="235">
        <v>2</v>
      </c>
      <c r="AJ14" s="233"/>
      <c r="AK14" s="232">
        <f t="shared" si="1"/>
        <v>300.31359999999995</v>
      </c>
    </row>
    <row r="15" spans="2:37" ht="17.25" customHeight="1">
      <c r="B15" s="106" t="s">
        <v>4</v>
      </c>
      <c r="C15" s="107" t="s">
        <v>59</v>
      </c>
      <c r="D15" s="120"/>
      <c r="E15" s="121">
        <v>165.96259999999998</v>
      </c>
      <c r="F15" s="123"/>
      <c r="G15" s="35"/>
      <c r="H15" s="211"/>
      <c r="I15" s="207"/>
      <c r="J15" s="203">
        <v>5.95</v>
      </c>
      <c r="K15" s="129">
        <v>4.25</v>
      </c>
      <c r="L15" s="201">
        <f>10*(LOOKUP(K15,Performance2013!$A$1:$A$123,Performance2013!$B$1:$B$123))</f>
        <v>12.099999999999994</v>
      </c>
      <c r="M15" s="210"/>
      <c r="N15" s="207"/>
      <c r="O15" s="129">
        <v>4.31</v>
      </c>
      <c r="P15" s="201">
        <f>21.1*(LOOKUP(O15,Performance2013!$A$1:$A$123,Performance2013!$B$1:$B$123))</f>
        <v>24.77139999999999</v>
      </c>
      <c r="Q15" s="210"/>
      <c r="R15" s="207"/>
      <c r="S15" s="35"/>
      <c r="T15" s="35"/>
      <c r="U15" s="207"/>
      <c r="V15" s="207"/>
      <c r="W15" s="129"/>
      <c r="X15" s="201"/>
      <c r="Y15" s="229">
        <v>4.2</v>
      </c>
      <c r="Z15" s="226">
        <f>15*(LOOKUP(Y15,Performance2013!$A$1:$A$123,Performance2013!$B$1:$B$123))</f>
        <v>18.599999999999994</v>
      </c>
      <c r="AA15" s="201"/>
      <c r="AB15" s="201"/>
      <c r="AC15" s="219"/>
      <c r="AD15" s="219"/>
      <c r="AE15" s="138"/>
      <c r="AF15" s="119">
        <f t="shared" si="0"/>
        <v>227.38399999999996</v>
      </c>
      <c r="AG15" s="5"/>
      <c r="AH15" s="239">
        <v>12</v>
      </c>
      <c r="AI15" s="235">
        <v>15</v>
      </c>
      <c r="AJ15" s="233">
        <v>22</v>
      </c>
      <c r="AK15" s="232">
        <f t="shared" si="1"/>
        <v>276.38399999999996</v>
      </c>
    </row>
    <row r="16" spans="2:37" ht="17.25" customHeight="1">
      <c r="B16" s="106" t="s">
        <v>5</v>
      </c>
      <c r="C16" s="107" t="s">
        <v>55</v>
      </c>
      <c r="D16" s="120"/>
      <c r="E16" s="121">
        <v>99.6968</v>
      </c>
      <c r="F16" s="179"/>
      <c r="G16" s="35"/>
      <c r="H16" s="209"/>
      <c r="I16" s="209"/>
      <c r="J16" s="203"/>
      <c r="K16" s="38"/>
      <c r="L16" s="201"/>
      <c r="M16" s="214"/>
      <c r="N16" s="207"/>
      <c r="O16" s="38">
        <v>3.51</v>
      </c>
      <c r="P16" s="201">
        <f>21.1*(LOOKUP(O16,Performance2013!$A$1:$A$123,Performance2013!$B$1:$B$123)+0.054)</f>
        <v>30.9748</v>
      </c>
      <c r="Q16" s="214"/>
      <c r="R16" s="207"/>
      <c r="S16" s="35"/>
      <c r="T16" s="35"/>
      <c r="U16" s="207"/>
      <c r="V16" s="207"/>
      <c r="W16" s="129"/>
      <c r="X16" s="201"/>
      <c r="Y16" s="226"/>
      <c r="Z16" s="226"/>
      <c r="AA16" s="129">
        <v>4.06</v>
      </c>
      <c r="AB16" s="231">
        <f>42.2*(LOOKUP(AA16,Performance2013!$E$1:$E$123,Performance2013!$F$1:$F$123)+0.054)+0.5*42.2</f>
        <v>86.8476</v>
      </c>
      <c r="AC16" s="207"/>
      <c r="AD16" s="207"/>
      <c r="AE16" s="138"/>
      <c r="AF16" s="119">
        <f t="shared" si="0"/>
        <v>217.51919999999998</v>
      </c>
      <c r="AG16" s="5"/>
      <c r="AH16" s="239"/>
      <c r="AI16" s="235">
        <v>26</v>
      </c>
      <c r="AJ16" s="233">
        <v>26</v>
      </c>
      <c r="AK16" s="232">
        <f t="shared" si="1"/>
        <v>269.51919999999996</v>
      </c>
    </row>
    <row r="17" spans="2:37" ht="17.25" customHeight="1">
      <c r="B17" s="106" t="s">
        <v>6</v>
      </c>
      <c r="C17" s="116" t="s">
        <v>57</v>
      </c>
      <c r="D17" s="47"/>
      <c r="E17" s="48">
        <v>131.676</v>
      </c>
      <c r="F17" s="124">
        <v>4.58</v>
      </c>
      <c r="G17" s="49">
        <f>13*LOOKUP(F17,Performance2013!$C$1:$C$123,Performance2013!$D$1:$D$123)</f>
        <v>15.495999999999993</v>
      </c>
      <c r="H17" s="124">
        <v>5.47</v>
      </c>
      <c r="I17" s="49">
        <f>21.1*LOOKUP(H17,Performance2013!$C$1:$C$123,Performance2013!$D$1:$D$123)</f>
        <v>21.099999999999987</v>
      </c>
      <c r="J17" s="49">
        <v>5.95</v>
      </c>
      <c r="K17" s="133"/>
      <c r="L17" s="135">
        <v>5</v>
      </c>
      <c r="M17" s="133"/>
      <c r="N17" s="133"/>
      <c r="O17" s="124">
        <v>5.13</v>
      </c>
      <c r="P17" s="49">
        <f>21.1*LOOKUP(O17,Performance2013!$C$1:$C$123,Performance2013!$D$1:$D$123)</f>
        <v>23.252199999999988</v>
      </c>
      <c r="Q17" s="124">
        <v>4.59</v>
      </c>
      <c r="R17" s="49">
        <f>13*LOOKUP(Q17,Performance2013!$C$1:$C$123,Performance2013!$D$1:$D$123)</f>
        <v>15.417999999999994</v>
      </c>
      <c r="S17" s="133"/>
      <c r="T17" s="133"/>
      <c r="U17" s="135"/>
      <c r="V17" s="135">
        <v>12</v>
      </c>
      <c r="W17" s="124">
        <v>4.54</v>
      </c>
      <c r="X17" s="49">
        <f>12.5*LOOKUP(W17,Performance2013!$C$1:$C$123,Performance2013!$D$1:$D$123)</f>
        <v>15.199999999999994</v>
      </c>
      <c r="Y17" s="49"/>
      <c r="Z17" s="49"/>
      <c r="AA17" s="49"/>
      <c r="AB17" s="49">
        <v>4.5</v>
      </c>
      <c r="AC17" s="124"/>
      <c r="AD17" s="49"/>
      <c r="AE17" s="135"/>
      <c r="AF17" s="119">
        <f t="shared" si="0"/>
        <v>249.59219999999993</v>
      </c>
      <c r="AG17" s="5"/>
      <c r="AH17" s="239">
        <v>8</v>
      </c>
      <c r="AI17" s="235"/>
      <c r="AJ17" s="233"/>
      <c r="AK17" s="232">
        <f t="shared" si="1"/>
        <v>257.59219999999993</v>
      </c>
    </row>
    <row r="18" spans="2:37" ht="17.25" customHeight="1">
      <c r="B18" s="106" t="s">
        <v>7</v>
      </c>
      <c r="C18" s="107" t="s">
        <v>79</v>
      </c>
      <c r="D18" s="122"/>
      <c r="E18" s="121">
        <v>133.917</v>
      </c>
      <c r="F18" s="123">
        <v>5.1</v>
      </c>
      <c r="G18" s="35">
        <v>10</v>
      </c>
      <c r="H18" s="211">
        <v>5.4</v>
      </c>
      <c r="I18" s="207">
        <v>21.1</v>
      </c>
      <c r="J18" s="203">
        <v>5.95</v>
      </c>
      <c r="K18" s="129"/>
      <c r="L18" s="35"/>
      <c r="M18" s="210">
        <v>6.01</v>
      </c>
      <c r="N18" s="207">
        <v>42.2</v>
      </c>
      <c r="O18" s="123"/>
      <c r="P18" s="201"/>
      <c r="Q18" s="210"/>
      <c r="R18" s="207"/>
      <c r="S18" s="38">
        <v>4.48</v>
      </c>
      <c r="T18" s="35">
        <v>11.8</v>
      </c>
      <c r="U18" s="207"/>
      <c r="V18" s="207"/>
      <c r="W18" s="35"/>
      <c r="X18" s="35"/>
      <c r="Y18" s="229">
        <v>5.11</v>
      </c>
      <c r="Z18" s="227">
        <f>1.042*15</f>
        <v>15.63</v>
      </c>
      <c r="AA18" s="35"/>
      <c r="AB18" s="35">
        <v>4.5</v>
      </c>
      <c r="AC18" s="219"/>
      <c r="AD18" s="219">
        <v>10</v>
      </c>
      <c r="AE18" s="140"/>
      <c r="AF18" s="119">
        <f t="shared" si="0"/>
        <v>255.09699999999998</v>
      </c>
      <c r="AG18" s="5"/>
      <c r="AH18" s="239"/>
      <c r="AI18" s="235"/>
      <c r="AJ18" s="233">
        <v>2</v>
      </c>
      <c r="AK18" s="232">
        <f t="shared" si="1"/>
        <v>257.097</v>
      </c>
    </row>
    <row r="19" spans="2:37" ht="17.25" customHeight="1">
      <c r="B19" s="106" t="s">
        <v>8</v>
      </c>
      <c r="C19" s="46" t="s">
        <v>63</v>
      </c>
      <c r="D19" s="120"/>
      <c r="E19" s="121">
        <f>105.464+4</f>
        <v>109.464</v>
      </c>
      <c r="F19" s="129">
        <v>3.58</v>
      </c>
      <c r="G19" s="201">
        <f>13*(LOOKUP(F19,Performance2013!$A$1:$A$123,Performance2013!$B$1:$B$123))</f>
        <v>17.835999999999995</v>
      </c>
      <c r="H19" s="211"/>
      <c r="I19" s="207">
        <v>5</v>
      </c>
      <c r="J19" s="203">
        <v>5.95</v>
      </c>
      <c r="K19" s="129">
        <v>5.02</v>
      </c>
      <c r="L19" s="35">
        <v>10</v>
      </c>
      <c r="M19" s="210"/>
      <c r="N19" s="207"/>
      <c r="O19" s="123"/>
      <c r="P19" s="201"/>
      <c r="Q19" s="211">
        <v>4.15</v>
      </c>
      <c r="R19" s="208">
        <f>13*(LOOKUP(Q19,Performance2013!$A$1:$A$123,Performance2013!$B$1:$B$123))</f>
        <v>16.509999999999994</v>
      </c>
      <c r="S19" s="123"/>
      <c r="T19" s="131"/>
      <c r="U19" s="219"/>
      <c r="V19" s="219">
        <v>12</v>
      </c>
      <c r="W19" s="123">
        <v>4.07</v>
      </c>
      <c r="X19" s="201">
        <f>12.5*(LOOKUP(W19,Performance2013!$A$1:$A$123,Performance2013!$B$1:$B$123))</f>
        <v>16.474999999999994</v>
      </c>
      <c r="Y19" s="226"/>
      <c r="Z19" s="226"/>
      <c r="AA19" s="201"/>
      <c r="AB19" s="201">
        <v>4.5</v>
      </c>
      <c r="AC19" s="219"/>
      <c r="AD19" s="219"/>
      <c r="AE19" s="138"/>
      <c r="AF19" s="119">
        <f t="shared" si="0"/>
        <v>197.73499999999999</v>
      </c>
      <c r="AG19" s="5"/>
      <c r="AH19" s="239">
        <v>26</v>
      </c>
      <c r="AI19" s="235"/>
      <c r="AJ19" s="233"/>
      <c r="AK19" s="232">
        <f t="shared" si="1"/>
        <v>223.73499999999999</v>
      </c>
    </row>
    <row r="20" spans="2:37" ht="17.25" customHeight="1">
      <c r="B20" s="106" t="s">
        <v>9</v>
      </c>
      <c r="C20" s="46" t="s">
        <v>140</v>
      </c>
      <c r="D20" s="122"/>
      <c r="E20" s="121">
        <v>163.40599999999995</v>
      </c>
      <c r="F20" s="129">
        <v>4.41</v>
      </c>
      <c r="G20" s="201">
        <f>10*(LOOKUP(F20,Performance2013!$A$1:$A$123,Performance2013!$B$1:$B$123))</f>
        <v>11.139999999999993</v>
      </c>
      <c r="H20" s="209"/>
      <c r="I20" s="209"/>
      <c r="J20" s="203"/>
      <c r="K20" s="38"/>
      <c r="M20" s="209"/>
      <c r="N20" s="207"/>
      <c r="O20" s="123"/>
      <c r="P20" s="201"/>
      <c r="Q20" s="209"/>
      <c r="R20" s="207"/>
      <c r="S20" s="129">
        <v>4.39</v>
      </c>
      <c r="T20" s="201">
        <f>10*(LOOKUP(S20,Performance2013!$A$1:$A$123,Performance2013!$B$1:$B$123))</f>
        <v>11.259999999999994</v>
      </c>
      <c r="U20" s="208"/>
      <c r="V20" s="208"/>
      <c r="W20" s="123"/>
      <c r="X20" s="201"/>
      <c r="Y20" s="229">
        <v>4.51</v>
      </c>
      <c r="Z20" s="226">
        <f>15*(LOOKUP(Y20,Performance2013!$A$1:$A$123,Performance2013!$B$1:$B$123))</f>
        <v>15.809999999999992</v>
      </c>
      <c r="AA20" s="201"/>
      <c r="AB20" s="201">
        <v>4.5</v>
      </c>
      <c r="AC20" s="220"/>
      <c r="AD20" s="220"/>
      <c r="AE20" s="144"/>
      <c r="AF20" s="119">
        <f t="shared" si="0"/>
        <v>206.11599999999993</v>
      </c>
      <c r="AG20" s="5"/>
      <c r="AH20" s="239"/>
      <c r="AI20" s="235">
        <v>4</v>
      </c>
      <c r="AJ20" s="233"/>
      <c r="AK20" s="232">
        <f t="shared" si="1"/>
        <v>210.11599999999993</v>
      </c>
    </row>
    <row r="21" spans="2:37" ht="17.25" customHeight="1">
      <c r="B21" s="106" t="s">
        <v>10</v>
      </c>
      <c r="C21" s="46" t="s">
        <v>62</v>
      </c>
      <c r="D21" s="120"/>
      <c r="E21" s="121">
        <v>159.02999999999994</v>
      </c>
      <c r="F21" s="123"/>
      <c r="G21" s="35"/>
      <c r="H21" s="211"/>
      <c r="I21" s="207"/>
      <c r="J21" s="204"/>
      <c r="K21" s="129">
        <v>4.4</v>
      </c>
      <c r="L21" s="201">
        <f>10*(LOOKUP(K21,Performance2013!$A$1:$A$123,Performance2013!$B$1:$B$123)+0.054)</f>
        <v>11.739999999999995</v>
      </c>
      <c r="M21" s="211"/>
      <c r="N21" s="208"/>
      <c r="O21" s="38">
        <v>4.49</v>
      </c>
      <c r="P21" s="201">
        <f>21.1*(LOOKUP(O21,Performance2013!$A$1:$A$123,Performance2013!$B$1:$B$123)+0.054)</f>
        <v>23.63199999999999</v>
      </c>
      <c r="Q21" s="211"/>
      <c r="R21" s="208"/>
      <c r="S21" s="123"/>
      <c r="T21" s="35"/>
      <c r="U21" s="207"/>
      <c r="V21" s="207"/>
      <c r="W21" s="129"/>
      <c r="X21" s="201"/>
      <c r="Y21" s="226"/>
      <c r="Z21" s="226"/>
      <c r="AA21" s="201"/>
      <c r="AB21" s="201"/>
      <c r="AC21" s="219"/>
      <c r="AD21" s="219"/>
      <c r="AE21" s="138"/>
      <c r="AF21" s="119">
        <f t="shared" si="0"/>
        <v>194.40199999999993</v>
      </c>
      <c r="AG21" s="5"/>
      <c r="AH21" s="240">
        <v>2</v>
      </c>
      <c r="AI21" s="235">
        <v>8</v>
      </c>
      <c r="AJ21" s="233"/>
      <c r="AK21" s="232">
        <f t="shared" si="1"/>
        <v>204.40199999999993</v>
      </c>
    </row>
    <row r="22" spans="2:37" ht="17.25" customHeight="1">
      <c r="B22" s="106" t="s">
        <v>11</v>
      </c>
      <c r="C22" s="46" t="s">
        <v>66</v>
      </c>
      <c r="D22" s="120"/>
      <c r="E22" s="121">
        <v>136.65</v>
      </c>
      <c r="F22" s="129">
        <v>5.15</v>
      </c>
      <c r="G22" s="201">
        <v>13.234</v>
      </c>
      <c r="H22" s="211">
        <v>6.18</v>
      </c>
      <c r="I22" s="207">
        <v>10.55</v>
      </c>
      <c r="J22" s="203">
        <v>5.95</v>
      </c>
      <c r="K22" s="129">
        <v>5.42</v>
      </c>
      <c r="L22" s="35">
        <v>10</v>
      </c>
      <c r="M22" s="211"/>
      <c r="N22" s="207"/>
      <c r="O22" s="123"/>
      <c r="P22" s="35"/>
      <c r="Q22" s="211">
        <v>5.36</v>
      </c>
      <c r="R22" s="207">
        <v>13</v>
      </c>
      <c r="S22" s="129">
        <v>5.2</v>
      </c>
      <c r="T22" s="35">
        <v>10</v>
      </c>
      <c r="U22" s="207"/>
      <c r="V22" s="207"/>
      <c r="W22" s="35"/>
      <c r="X22" s="35"/>
      <c r="Y22" s="227"/>
      <c r="Z22" s="227"/>
      <c r="AA22" s="35"/>
      <c r="AB22" s="35">
        <v>4.5</v>
      </c>
      <c r="AC22" s="219"/>
      <c r="AD22" s="219"/>
      <c r="AE22" s="138"/>
      <c r="AF22" s="119">
        <f t="shared" si="0"/>
        <v>203.88400000000001</v>
      </c>
      <c r="AG22" s="5"/>
      <c r="AH22" s="239"/>
      <c r="AI22" s="235"/>
      <c r="AJ22" s="233"/>
      <c r="AK22" s="232">
        <f t="shared" si="1"/>
        <v>203.88400000000001</v>
      </c>
    </row>
    <row r="23" spans="2:37" ht="17.25" customHeight="1">
      <c r="B23" s="106" t="s">
        <v>12</v>
      </c>
      <c r="C23" s="46" t="s">
        <v>85</v>
      </c>
      <c r="D23" s="120"/>
      <c r="E23" s="121">
        <v>118.34</v>
      </c>
      <c r="F23" s="129">
        <v>5.04</v>
      </c>
      <c r="G23" s="201">
        <v>14.092</v>
      </c>
      <c r="H23" s="211">
        <v>5.55</v>
      </c>
      <c r="I23" s="207">
        <v>21.1</v>
      </c>
      <c r="J23" s="203">
        <v>5.95</v>
      </c>
      <c r="K23" s="35"/>
      <c r="L23" s="35"/>
      <c r="M23" s="211">
        <v>5.09</v>
      </c>
      <c r="N23" s="208">
        <v>10.54</v>
      </c>
      <c r="O23" s="123"/>
      <c r="P23" s="35"/>
      <c r="Q23" s="211"/>
      <c r="R23" s="207"/>
      <c r="S23" s="35"/>
      <c r="T23" s="35"/>
      <c r="U23" s="207"/>
      <c r="V23" s="207"/>
      <c r="W23" s="35"/>
      <c r="X23" s="35">
        <v>6.25</v>
      </c>
      <c r="Y23" s="227"/>
      <c r="Z23" s="227"/>
      <c r="AA23" s="35"/>
      <c r="AB23" s="35">
        <v>4.5</v>
      </c>
      <c r="AC23" s="207"/>
      <c r="AD23" s="207">
        <v>10</v>
      </c>
      <c r="AE23" s="138"/>
      <c r="AF23" s="119">
        <f t="shared" si="0"/>
        <v>190.772</v>
      </c>
      <c r="AG23" s="5"/>
      <c r="AH23" s="239"/>
      <c r="AI23" s="235"/>
      <c r="AJ23" s="233"/>
      <c r="AK23" s="232">
        <f t="shared" si="1"/>
        <v>190.772</v>
      </c>
    </row>
    <row r="24" spans="2:37" ht="17.25" customHeight="1">
      <c r="B24" s="106" t="s">
        <v>13</v>
      </c>
      <c r="C24" s="107" t="s">
        <v>151</v>
      </c>
      <c r="D24" s="122"/>
      <c r="E24" s="121">
        <v>104.17199999999998</v>
      </c>
      <c r="F24" s="123"/>
      <c r="G24" s="35"/>
      <c r="H24" s="209">
        <v>5.48</v>
      </c>
      <c r="I24" s="207">
        <v>21.1</v>
      </c>
      <c r="J24" s="203">
        <v>5.95</v>
      </c>
      <c r="K24" s="35">
        <v>5.4</v>
      </c>
      <c r="L24" s="35">
        <v>10</v>
      </c>
      <c r="M24" s="210"/>
      <c r="N24" s="207"/>
      <c r="O24" s="123"/>
      <c r="P24" s="35"/>
      <c r="Q24" s="210"/>
      <c r="R24" s="207"/>
      <c r="S24" s="129">
        <v>4.39</v>
      </c>
      <c r="T24" s="201">
        <f>10*(LOOKUP(S24,Performance2013!$A$1:$A$123,Performance2013!$B$1:$B$123))</f>
        <v>11.259999999999994</v>
      </c>
      <c r="U24" s="207"/>
      <c r="V24" s="207"/>
      <c r="W24" s="35"/>
      <c r="X24" s="35"/>
      <c r="Y24" s="229">
        <v>4.46</v>
      </c>
      <c r="Z24" s="226">
        <f>15*(LOOKUP(Y24,Performance2013!$A$1:$A$123,Performance2013!$B$1:$B$123))</f>
        <v>16.25999999999999</v>
      </c>
      <c r="AA24" s="35"/>
      <c r="AB24" s="35">
        <v>4.5</v>
      </c>
      <c r="AC24" s="211"/>
      <c r="AD24" s="208">
        <v>10</v>
      </c>
      <c r="AE24" s="143"/>
      <c r="AF24" s="119">
        <f t="shared" si="0"/>
        <v>183.24199999999996</v>
      </c>
      <c r="AG24" s="5"/>
      <c r="AH24" s="239"/>
      <c r="AI24" s="235">
        <v>6</v>
      </c>
      <c r="AJ24" s="233"/>
      <c r="AK24" s="232">
        <f t="shared" si="1"/>
        <v>189.24199999999996</v>
      </c>
    </row>
    <row r="25" spans="2:37" ht="17.25" customHeight="1">
      <c r="B25" s="106" t="s">
        <v>14</v>
      </c>
      <c r="C25" s="107" t="s">
        <v>191</v>
      </c>
      <c r="D25" s="120"/>
      <c r="E25" s="121">
        <v>104.40279999999997</v>
      </c>
      <c r="F25" s="179"/>
      <c r="G25" s="35"/>
      <c r="H25" s="209"/>
      <c r="I25" s="209"/>
      <c r="J25" s="203"/>
      <c r="K25" s="129">
        <v>6.01</v>
      </c>
      <c r="L25" s="201">
        <v>42.2</v>
      </c>
      <c r="M25" s="214"/>
      <c r="N25" s="207"/>
      <c r="O25" s="123"/>
      <c r="P25" s="38"/>
      <c r="Q25" s="214"/>
      <c r="R25" s="207"/>
      <c r="S25" s="38"/>
      <c r="T25" s="201"/>
      <c r="U25" s="207"/>
      <c r="V25" s="207">
        <v>23</v>
      </c>
      <c r="W25" s="35"/>
      <c r="X25" s="35"/>
      <c r="Y25" s="227"/>
      <c r="Z25" s="227"/>
      <c r="AA25" s="35"/>
      <c r="AB25" s="35"/>
      <c r="AC25" s="219"/>
      <c r="AD25" s="219"/>
      <c r="AE25" s="138"/>
      <c r="AF25" s="119">
        <f t="shared" si="0"/>
        <v>169.60279999999997</v>
      </c>
      <c r="AG25" s="5"/>
      <c r="AH25" s="239"/>
      <c r="AI25" s="235"/>
      <c r="AJ25" s="233">
        <v>18</v>
      </c>
      <c r="AK25" s="232">
        <f t="shared" si="1"/>
        <v>187.60279999999997</v>
      </c>
    </row>
    <row r="26" spans="2:38" ht="17.25" customHeight="1">
      <c r="B26" s="106" t="s">
        <v>15</v>
      </c>
      <c r="C26" s="46" t="s">
        <v>84</v>
      </c>
      <c r="D26" s="122"/>
      <c r="E26" s="121">
        <v>61.85</v>
      </c>
      <c r="F26" s="123"/>
      <c r="G26" s="35"/>
      <c r="H26" s="209">
        <v>5.25</v>
      </c>
      <c r="I26" s="207">
        <v>21.1</v>
      </c>
      <c r="J26" s="203">
        <v>5.95</v>
      </c>
      <c r="K26" s="35"/>
      <c r="L26" s="35"/>
      <c r="M26" s="210">
        <v>5.52</v>
      </c>
      <c r="N26" s="207">
        <v>42.2</v>
      </c>
      <c r="O26" s="123"/>
      <c r="P26" s="35"/>
      <c r="Q26" s="210"/>
      <c r="R26" s="207"/>
      <c r="S26" s="35"/>
      <c r="T26" s="35">
        <v>5</v>
      </c>
      <c r="U26" s="207"/>
      <c r="V26" s="207"/>
      <c r="W26" s="35"/>
      <c r="X26" s="35"/>
      <c r="Y26" s="227"/>
      <c r="Z26" s="227"/>
      <c r="AA26" s="35"/>
      <c r="AB26" s="35"/>
      <c r="AC26" s="207"/>
      <c r="AD26" s="207"/>
      <c r="AE26" s="143"/>
      <c r="AF26" s="119">
        <f t="shared" si="0"/>
        <v>136.10000000000002</v>
      </c>
      <c r="AG26" s="5"/>
      <c r="AH26" s="241"/>
      <c r="AI26" s="236"/>
      <c r="AJ26" s="233">
        <v>4</v>
      </c>
      <c r="AK26" s="232">
        <f t="shared" si="1"/>
        <v>140.10000000000002</v>
      </c>
      <c r="AL26" s="5"/>
    </row>
    <row r="27" spans="2:38" ht="17.25" customHeight="1">
      <c r="B27" s="106" t="s">
        <v>16</v>
      </c>
      <c r="C27" s="107" t="s">
        <v>158</v>
      </c>
      <c r="D27" s="122"/>
      <c r="E27" s="121">
        <v>76.85</v>
      </c>
      <c r="H27" s="209"/>
      <c r="I27" s="209"/>
      <c r="J27" s="203">
        <v>5.95</v>
      </c>
      <c r="K27" s="38">
        <v>5.34</v>
      </c>
      <c r="L27" s="1">
        <v>10</v>
      </c>
      <c r="M27" s="209">
        <v>5.23</v>
      </c>
      <c r="N27" s="207">
        <v>10</v>
      </c>
      <c r="O27" s="199"/>
      <c r="P27" s="128"/>
      <c r="Q27" s="209"/>
      <c r="R27" s="213"/>
      <c r="S27" s="38">
        <v>5.39</v>
      </c>
      <c r="T27" s="35">
        <v>10</v>
      </c>
      <c r="U27" s="207"/>
      <c r="V27" s="207"/>
      <c r="W27" s="35"/>
      <c r="X27" s="35"/>
      <c r="Y27" s="227"/>
      <c r="Z27" s="227"/>
      <c r="AA27" s="35"/>
      <c r="AB27" s="35">
        <v>4.5</v>
      </c>
      <c r="AC27" s="207"/>
      <c r="AD27" s="207">
        <v>5</v>
      </c>
      <c r="AE27" s="139"/>
      <c r="AF27" s="119">
        <f t="shared" si="0"/>
        <v>122.3</v>
      </c>
      <c r="AG27" s="5"/>
      <c r="AH27" s="241"/>
      <c r="AI27" s="236"/>
      <c r="AJ27" s="233"/>
      <c r="AK27" s="232">
        <f t="shared" si="1"/>
        <v>122.3</v>
      </c>
      <c r="AL27" s="5"/>
    </row>
    <row r="28" spans="2:38" ht="17.25" customHeight="1">
      <c r="B28" s="106" t="s">
        <v>17</v>
      </c>
      <c r="C28" s="107" t="s">
        <v>65</v>
      </c>
      <c r="D28" s="120"/>
      <c r="E28" s="121">
        <v>63.099599999999995</v>
      </c>
      <c r="F28" s="123"/>
      <c r="G28" s="43"/>
      <c r="H28" s="211"/>
      <c r="I28" s="207"/>
      <c r="J28" s="203">
        <v>5.95</v>
      </c>
      <c r="K28" s="129"/>
      <c r="L28" s="35"/>
      <c r="M28" s="211">
        <v>5.1</v>
      </c>
      <c r="N28" s="207">
        <v>10</v>
      </c>
      <c r="O28" s="123"/>
      <c r="P28" s="201"/>
      <c r="Q28" s="211"/>
      <c r="R28" s="207"/>
      <c r="S28" s="123"/>
      <c r="T28" s="35"/>
      <c r="U28" s="207"/>
      <c r="V28" s="207">
        <v>23</v>
      </c>
      <c r="W28" s="35"/>
      <c r="X28" s="35"/>
      <c r="Y28" s="227"/>
      <c r="Z28" s="227"/>
      <c r="AA28" s="35"/>
      <c r="AB28" s="35"/>
      <c r="AC28" s="219"/>
      <c r="AD28" s="219"/>
      <c r="AE28" s="138"/>
      <c r="AF28" s="119">
        <f t="shared" si="0"/>
        <v>102.0496</v>
      </c>
      <c r="AG28" s="5"/>
      <c r="AH28" s="239">
        <v>10</v>
      </c>
      <c r="AI28" s="172"/>
      <c r="AJ28" s="233">
        <v>6</v>
      </c>
      <c r="AK28" s="232">
        <f t="shared" si="1"/>
        <v>118.0496</v>
      </c>
      <c r="AL28" s="5"/>
    </row>
    <row r="29" spans="2:38" ht="17.25" customHeight="1">
      <c r="B29" s="106" t="s">
        <v>18</v>
      </c>
      <c r="C29" s="46" t="s">
        <v>146</v>
      </c>
      <c r="D29" s="120"/>
      <c r="E29" s="121">
        <v>53.5</v>
      </c>
      <c r="F29" s="127"/>
      <c r="G29" s="35"/>
      <c r="H29" s="211"/>
      <c r="I29" s="207">
        <v>5</v>
      </c>
      <c r="J29" s="203">
        <v>5.95</v>
      </c>
      <c r="K29" s="35"/>
      <c r="L29" s="35">
        <v>5</v>
      </c>
      <c r="M29" s="210">
        <v>5.5</v>
      </c>
      <c r="N29" s="207">
        <v>10</v>
      </c>
      <c r="O29" s="123"/>
      <c r="P29" s="35"/>
      <c r="Q29" s="212"/>
      <c r="R29" s="207"/>
      <c r="S29" s="129">
        <v>5.56</v>
      </c>
      <c r="T29" s="35">
        <v>10</v>
      </c>
      <c r="U29" s="207"/>
      <c r="V29" s="207"/>
      <c r="W29" s="35"/>
      <c r="X29" s="35">
        <v>6.25</v>
      </c>
      <c r="Y29" s="227"/>
      <c r="Z29" s="227">
        <v>7.5</v>
      </c>
      <c r="AA29" s="35"/>
      <c r="AB29" s="35">
        <v>4.5</v>
      </c>
      <c r="AC29" s="207"/>
      <c r="AD29" s="207">
        <v>5</v>
      </c>
      <c r="AE29" s="138"/>
      <c r="AF29" s="119">
        <f t="shared" si="0"/>
        <v>112.7</v>
      </c>
      <c r="AG29" s="5"/>
      <c r="AH29" s="239"/>
      <c r="AI29" s="172"/>
      <c r="AJ29" s="233"/>
      <c r="AK29" s="232">
        <f t="shared" si="1"/>
        <v>112.7</v>
      </c>
      <c r="AL29" s="5"/>
    </row>
    <row r="30" spans="2:38" ht="17.25" customHeight="1">
      <c r="B30" s="106" t="s">
        <v>19</v>
      </c>
      <c r="C30" s="107" t="s">
        <v>237</v>
      </c>
      <c r="D30" s="120"/>
      <c r="E30" s="121">
        <v>64</v>
      </c>
      <c r="F30" s="179"/>
      <c r="G30" s="35"/>
      <c r="H30" s="211"/>
      <c r="I30" s="207"/>
      <c r="J30" s="203">
        <v>5.95</v>
      </c>
      <c r="K30" s="35"/>
      <c r="L30" s="35">
        <v>5</v>
      </c>
      <c r="M30" s="210">
        <v>5.5</v>
      </c>
      <c r="N30" s="207">
        <v>10</v>
      </c>
      <c r="O30" s="123"/>
      <c r="P30" s="35"/>
      <c r="Q30" s="210"/>
      <c r="R30" s="207"/>
      <c r="S30" s="129">
        <v>6.14</v>
      </c>
      <c r="T30" s="35">
        <v>5</v>
      </c>
      <c r="U30" s="207"/>
      <c r="V30" s="207"/>
      <c r="W30" s="35"/>
      <c r="X30" s="35">
        <v>6.25</v>
      </c>
      <c r="Y30" s="227"/>
      <c r="Z30" s="227"/>
      <c r="AA30" s="35"/>
      <c r="AB30" s="35">
        <v>4.5</v>
      </c>
      <c r="AC30" s="207"/>
      <c r="AD30" s="207">
        <v>5</v>
      </c>
      <c r="AE30" s="138"/>
      <c r="AF30" s="119">
        <f t="shared" si="0"/>
        <v>105.7</v>
      </c>
      <c r="AG30" s="5"/>
      <c r="AH30" s="241"/>
      <c r="AI30" s="5"/>
      <c r="AJ30" s="233"/>
      <c r="AK30" s="232">
        <f t="shared" si="1"/>
        <v>105.7</v>
      </c>
      <c r="AL30" s="5"/>
    </row>
    <row r="31" spans="2:38" ht="17.25" customHeight="1">
      <c r="B31" s="106" t="s">
        <v>20</v>
      </c>
      <c r="C31" s="46" t="s">
        <v>88</v>
      </c>
      <c r="D31" s="122"/>
      <c r="E31" s="121">
        <v>41.209999999999994</v>
      </c>
      <c r="F31" s="125"/>
      <c r="G31" s="35"/>
      <c r="H31" s="209"/>
      <c r="I31" s="207">
        <v>5</v>
      </c>
      <c r="J31" s="203">
        <v>5.95</v>
      </c>
      <c r="K31" s="38">
        <v>5.18</v>
      </c>
      <c r="L31" s="35">
        <v>10</v>
      </c>
      <c r="M31" s="210"/>
      <c r="N31" s="207"/>
      <c r="O31" s="123"/>
      <c r="P31" s="201"/>
      <c r="Q31" s="210">
        <v>5.09</v>
      </c>
      <c r="R31" s="207">
        <v>13</v>
      </c>
      <c r="S31" s="38"/>
      <c r="T31" s="35"/>
      <c r="U31" s="207"/>
      <c r="V31" s="207">
        <v>12</v>
      </c>
      <c r="W31" s="123">
        <v>4.58</v>
      </c>
      <c r="X31" s="201">
        <f>12.5*(LOOKUP(W31,Performance2013!$A$1:$A$123,Performance2013!$B$1:$B$123))</f>
        <v>12.649999999999991</v>
      </c>
      <c r="Y31" s="226"/>
      <c r="Z31" s="226"/>
      <c r="AA31" s="201"/>
      <c r="AB31" s="201">
        <v>4.5</v>
      </c>
      <c r="AC31" s="207"/>
      <c r="AD31" s="207"/>
      <c r="AE31" s="138"/>
      <c r="AF31" s="119">
        <f t="shared" si="0"/>
        <v>104.30999999999999</v>
      </c>
      <c r="AG31" s="5"/>
      <c r="AH31" s="239"/>
      <c r="AI31" s="5"/>
      <c r="AJ31" s="233"/>
      <c r="AK31" s="232">
        <f t="shared" si="1"/>
        <v>104.30999999999999</v>
      </c>
      <c r="AL31" s="5"/>
    </row>
    <row r="32" spans="2:38" ht="17.25" customHeight="1">
      <c r="B32" s="106" t="s">
        <v>21</v>
      </c>
      <c r="C32" s="116" t="s">
        <v>149</v>
      </c>
      <c r="D32" s="115"/>
      <c r="E32" s="48">
        <v>74.19999999999999</v>
      </c>
      <c r="F32" s="124"/>
      <c r="G32" s="49"/>
      <c r="H32" s="115"/>
      <c r="I32" s="49"/>
      <c r="J32" s="115"/>
      <c r="K32" s="115"/>
      <c r="L32" s="115"/>
      <c r="M32" s="115"/>
      <c r="N32" s="49"/>
      <c r="O32" s="124"/>
      <c r="P32" s="49"/>
      <c r="Q32" s="115"/>
      <c r="R32" s="49"/>
      <c r="S32" s="124"/>
      <c r="T32" s="49"/>
      <c r="U32" s="124">
        <v>5.23</v>
      </c>
      <c r="V32" s="49">
        <f>21.1*LOOKUP(U32,Performance2013!$C$1:$C$123,Performance2013!$D$1:$D$123)</f>
        <v>21.98619999999999</v>
      </c>
      <c r="W32" s="49"/>
      <c r="X32" s="49"/>
      <c r="Y32" s="49"/>
      <c r="Z32" s="49"/>
      <c r="AA32" s="49"/>
      <c r="AB32" s="49">
        <v>4.5</v>
      </c>
      <c r="AC32" s="49"/>
      <c r="AD32" s="49"/>
      <c r="AE32" s="136"/>
      <c r="AF32" s="119">
        <f t="shared" si="0"/>
        <v>100.68619999999999</v>
      </c>
      <c r="AH32" s="242"/>
      <c r="AI32" s="163"/>
      <c r="AJ32" s="234"/>
      <c r="AK32" s="232">
        <f t="shared" si="1"/>
        <v>100.68619999999999</v>
      </c>
      <c r="AL32" s="5"/>
    </row>
    <row r="33" spans="2:38" ht="17.25" customHeight="1">
      <c r="B33" s="106" t="s">
        <v>22</v>
      </c>
      <c r="C33" s="46" t="s">
        <v>127</v>
      </c>
      <c r="D33" s="120"/>
      <c r="E33" s="121">
        <v>32.11999999999999</v>
      </c>
      <c r="F33" s="123"/>
      <c r="G33" s="35"/>
      <c r="H33" s="211">
        <v>5.25</v>
      </c>
      <c r="I33" s="207">
        <v>21.1</v>
      </c>
      <c r="J33" s="203"/>
      <c r="K33" s="35"/>
      <c r="L33" s="35"/>
      <c r="M33" s="210"/>
      <c r="N33" s="207"/>
      <c r="O33" s="123"/>
      <c r="P33" s="201"/>
      <c r="Q33" s="210"/>
      <c r="R33" s="207"/>
      <c r="S33" s="129">
        <v>4.42</v>
      </c>
      <c r="T33" s="201">
        <f>10*(LOOKUP(S33,Performance2013!$A$1:$A$123,Performance2013!$B$1:$B$123))</f>
        <v>11.079999999999995</v>
      </c>
      <c r="U33" s="207"/>
      <c r="V33" s="207"/>
      <c r="W33" s="35"/>
      <c r="X33" s="35"/>
      <c r="Y33" s="229">
        <v>5.15</v>
      </c>
      <c r="Z33" s="227">
        <v>15</v>
      </c>
      <c r="AA33" s="35"/>
      <c r="AB33" s="35">
        <v>4.5</v>
      </c>
      <c r="AC33" s="207"/>
      <c r="AD33" s="207"/>
      <c r="AE33" s="138"/>
      <c r="AF33" s="119">
        <f t="shared" si="0"/>
        <v>83.79999999999998</v>
      </c>
      <c r="AH33" s="242"/>
      <c r="AI33" s="165"/>
      <c r="AJ33" s="234"/>
      <c r="AK33" s="232">
        <f t="shared" si="1"/>
        <v>83.79999999999998</v>
      </c>
      <c r="AL33" s="5"/>
    </row>
    <row r="34" spans="2:38" ht="17.25" customHeight="1">
      <c r="B34" s="106" t="s">
        <v>23</v>
      </c>
      <c r="C34" s="107" t="s">
        <v>64</v>
      </c>
      <c r="D34" s="120"/>
      <c r="E34" s="121">
        <v>54.606799999999986</v>
      </c>
      <c r="F34" s="179"/>
      <c r="G34" s="35"/>
      <c r="H34" s="211"/>
      <c r="I34" s="207"/>
      <c r="J34" s="203"/>
      <c r="K34" s="35"/>
      <c r="L34" s="35"/>
      <c r="M34" s="211"/>
      <c r="N34" s="207"/>
      <c r="O34" s="123"/>
      <c r="P34" s="35"/>
      <c r="Q34" s="211"/>
      <c r="R34" s="207"/>
      <c r="S34" s="43"/>
      <c r="T34" s="35"/>
      <c r="U34" s="207"/>
      <c r="V34" s="207"/>
      <c r="W34" s="35"/>
      <c r="X34" s="35"/>
      <c r="Y34" s="227"/>
      <c r="Z34" s="227"/>
      <c r="AA34" s="35"/>
      <c r="AB34" s="35"/>
      <c r="AC34" s="211"/>
      <c r="AD34" s="208"/>
      <c r="AE34" s="138"/>
      <c r="AF34" s="119">
        <f t="shared" si="0"/>
        <v>54.606799999999986</v>
      </c>
      <c r="AH34" s="243"/>
      <c r="AJ34" s="234">
        <v>15</v>
      </c>
      <c r="AK34" s="232">
        <f t="shared" si="1"/>
        <v>69.60679999999999</v>
      </c>
      <c r="AL34" s="5"/>
    </row>
    <row r="35" spans="2:38" ht="17.25" customHeight="1">
      <c r="B35" s="106" t="s">
        <v>24</v>
      </c>
      <c r="C35" s="107" t="s">
        <v>53</v>
      </c>
      <c r="D35" s="120"/>
      <c r="E35" s="121">
        <v>54</v>
      </c>
      <c r="F35" s="123"/>
      <c r="G35" s="35"/>
      <c r="H35" s="211"/>
      <c r="I35" s="207"/>
      <c r="J35" s="203"/>
      <c r="K35" s="35">
        <v>5.15</v>
      </c>
      <c r="L35" s="35">
        <v>10</v>
      </c>
      <c r="M35" s="210"/>
      <c r="N35" s="207"/>
      <c r="O35" s="123"/>
      <c r="P35" s="35"/>
      <c r="Q35" s="210"/>
      <c r="R35" s="207"/>
      <c r="S35" s="35"/>
      <c r="T35" s="35"/>
      <c r="U35" s="207"/>
      <c r="V35" s="207"/>
      <c r="W35" s="35"/>
      <c r="X35" s="35"/>
      <c r="Y35" s="227"/>
      <c r="Z35" s="227"/>
      <c r="AA35" s="35"/>
      <c r="AB35" s="35"/>
      <c r="AC35" s="207"/>
      <c r="AD35" s="207"/>
      <c r="AE35" s="138"/>
      <c r="AF35" s="119">
        <f t="shared" si="0"/>
        <v>64</v>
      </c>
      <c r="AH35" s="243"/>
      <c r="AJ35" s="234"/>
      <c r="AK35" s="232">
        <f t="shared" si="1"/>
        <v>64</v>
      </c>
      <c r="AL35" s="5"/>
    </row>
    <row r="36" spans="2:38" ht="17.25" customHeight="1">
      <c r="B36" s="106" t="s">
        <v>73</v>
      </c>
      <c r="C36" s="46" t="s">
        <v>87</v>
      </c>
      <c r="D36" s="120"/>
      <c r="E36" s="121">
        <v>26.35</v>
      </c>
      <c r="F36" s="123"/>
      <c r="G36" s="35"/>
      <c r="H36" s="211"/>
      <c r="I36" s="207">
        <v>5</v>
      </c>
      <c r="J36" s="203"/>
      <c r="K36" s="35"/>
      <c r="L36" s="35">
        <v>5</v>
      </c>
      <c r="M36" s="211"/>
      <c r="N36" s="207"/>
      <c r="O36" s="123"/>
      <c r="P36" s="35"/>
      <c r="Q36" s="211"/>
      <c r="R36" s="207"/>
      <c r="S36" s="123">
        <v>5.02</v>
      </c>
      <c r="T36" s="35">
        <v>10</v>
      </c>
      <c r="U36" s="207"/>
      <c r="V36" s="207"/>
      <c r="W36" s="35"/>
      <c r="X36" s="35"/>
      <c r="Y36" s="227"/>
      <c r="Z36" s="227"/>
      <c r="AA36" s="35"/>
      <c r="AB36" s="35">
        <v>4.5</v>
      </c>
      <c r="AC36" s="207"/>
      <c r="AD36" s="207"/>
      <c r="AE36" s="145"/>
      <c r="AF36" s="119">
        <f t="shared" si="0"/>
        <v>50.85</v>
      </c>
      <c r="AH36" s="242"/>
      <c r="AI36" s="163"/>
      <c r="AJ36" s="234"/>
      <c r="AK36" s="232">
        <f t="shared" si="1"/>
        <v>50.85</v>
      </c>
      <c r="AL36" s="5"/>
    </row>
    <row r="37" spans="2:37" ht="17.25" customHeight="1">
      <c r="B37" s="106" t="s">
        <v>74</v>
      </c>
      <c r="C37" s="107" t="s">
        <v>238</v>
      </c>
      <c r="D37" s="122"/>
      <c r="E37" s="121">
        <v>42.12799999999998</v>
      </c>
      <c r="F37" s="180"/>
      <c r="H37" s="209"/>
      <c r="I37" s="209"/>
      <c r="J37" s="206"/>
      <c r="K37" s="38"/>
      <c r="M37" s="209"/>
      <c r="N37" s="213"/>
      <c r="O37" s="199"/>
      <c r="P37" s="201"/>
      <c r="Q37" s="209"/>
      <c r="R37" s="213"/>
      <c r="S37" s="38"/>
      <c r="T37" s="38"/>
      <c r="U37" s="209"/>
      <c r="V37" s="209"/>
      <c r="W37" s="38"/>
      <c r="X37" s="38"/>
      <c r="Y37" s="228"/>
      <c r="Z37" s="228"/>
      <c r="AA37" s="38"/>
      <c r="AB37" s="38"/>
      <c r="AC37" s="209"/>
      <c r="AD37" s="209"/>
      <c r="AE37" s="138"/>
      <c r="AF37" s="119">
        <f t="shared" si="0"/>
        <v>42.12799999999998</v>
      </c>
      <c r="AH37" s="244">
        <v>4</v>
      </c>
      <c r="AK37" s="232">
        <f t="shared" si="1"/>
        <v>46.12799999999998</v>
      </c>
    </row>
    <row r="38" spans="2:37" ht="17.25" customHeight="1">
      <c r="B38" s="106" t="s">
        <v>75</v>
      </c>
      <c r="C38" s="107" t="s">
        <v>240</v>
      </c>
      <c r="D38" s="120"/>
      <c r="E38" s="121">
        <v>19.25</v>
      </c>
      <c r="F38" s="179"/>
      <c r="G38" s="35"/>
      <c r="H38" s="211"/>
      <c r="I38" s="207"/>
      <c r="J38" s="203"/>
      <c r="K38" s="35"/>
      <c r="L38" s="35"/>
      <c r="M38" s="211">
        <v>5.13</v>
      </c>
      <c r="N38" s="207">
        <v>10</v>
      </c>
      <c r="O38" s="123"/>
      <c r="P38" s="35"/>
      <c r="Q38" s="211"/>
      <c r="R38" s="207"/>
      <c r="S38" s="129">
        <v>4.58</v>
      </c>
      <c r="T38" s="35">
        <v>10.12</v>
      </c>
      <c r="U38" s="207"/>
      <c r="V38" s="207"/>
      <c r="W38" s="35"/>
      <c r="X38" s="35">
        <v>6.25</v>
      </c>
      <c r="Y38" s="227"/>
      <c r="Z38" s="227"/>
      <c r="AA38" s="35"/>
      <c r="AB38" s="35"/>
      <c r="AC38" s="207"/>
      <c r="AD38" s="207"/>
      <c r="AE38" s="138"/>
      <c r="AF38" s="119">
        <f t="shared" si="0"/>
        <v>45.62</v>
      </c>
      <c r="AH38" s="243"/>
      <c r="AJ38" s="234"/>
      <c r="AK38" s="232">
        <f t="shared" si="1"/>
        <v>45.62</v>
      </c>
    </row>
    <row r="39" spans="2:37" ht="17.25" customHeight="1">
      <c r="B39" s="106" t="s">
        <v>76</v>
      </c>
      <c r="C39" s="107" t="s">
        <v>60</v>
      </c>
      <c r="D39" s="120"/>
      <c r="E39" s="121">
        <v>19.5</v>
      </c>
      <c r="F39" s="123"/>
      <c r="G39" s="35"/>
      <c r="H39" s="211"/>
      <c r="I39" s="207"/>
      <c r="J39" s="203">
        <v>5.95</v>
      </c>
      <c r="K39" s="35"/>
      <c r="L39" s="35"/>
      <c r="M39" s="210"/>
      <c r="N39" s="207"/>
      <c r="O39" s="131"/>
      <c r="P39" s="35"/>
      <c r="Q39" s="210"/>
      <c r="R39" s="207"/>
      <c r="S39" s="35"/>
      <c r="T39" s="35"/>
      <c r="U39" s="207"/>
      <c r="V39" s="207"/>
      <c r="W39" s="35"/>
      <c r="X39" s="35"/>
      <c r="Y39" s="229">
        <v>4.44</v>
      </c>
      <c r="Z39" s="226">
        <f>15*(LOOKUP(Y39,Performance2013!$A$1:$A$123,Performance2013!$B$1:$B$123)+0.054)</f>
        <v>17.249999999999993</v>
      </c>
      <c r="AA39" s="35"/>
      <c r="AB39" s="35"/>
      <c r="AC39" s="207"/>
      <c r="AD39" s="207"/>
      <c r="AE39" s="138"/>
      <c r="AF39" s="119">
        <f t="shared" si="0"/>
        <v>42.69999999999999</v>
      </c>
      <c r="AH39" s="242"/>
      <c r="AI39" s="165"/>
      <c r="AJ39" s="234"/>
      <c r="AK39" s="232">
        <f t="shared" si="1"/>
        <v>42.69999999999999</v>
      </c>
    </row>
    <row r="40" spans="2:37" ht="17.25" customHeight="1">
      <c r="B40" s="106" t="s">
        <v>77</v>
      </c>
      <c r="C40" s="46" t="s">
        <v>67</v>
      </c>
      <c r="D40" s="120"/>
      <c r="E40" s="121">
        <v>40.195999999999984</v>
      </c>
      <c r="F40" s="123"/>
      <c r="G40" s="35"/>
      <c r="H40" s="211"/>
      <c r="I40" s="207"/>
      <c r="J40" s="203"/>
      <c r="K40" s="35"/>
      <c r="L40" s="35"/>
      <c r="M40" s="210"/>
      <c r="N40" s="207"/>
      <c r="O40" s="123"/>
      <c r="P40" s="35"/>
      <c r="Q40" s="210"/>
      <c r="R40" s="207"/>
      <c r="S40" s="35"/>
      <c r="T40" s="35"/>
      <c r="U40" s="207"/>
      <c r="V40" s="207"/>
      <c r="W40" s="35"/>
      <c r="X40" s="35"/>
      <c r="Y40" s="227"/>
      <c r="Z40" s="227"/>
      <c r="AA40" s="35"/>
      <c r="AB40" s="35"/>
      <c r="AC40" s="207"/>
      <c r="AD40" s="207"/>
      <c r="AE40" s="138"/>
      <c r="AF40" s="119">
        <f t="shared" si="0"/>
        <v>40.195999999999984</v>
      </c>
      <c r="AH40" s="243"/>
      <c r="AK40" s="232">
        <f t="shared" si="1"/>
        <v>40.195999999999984</v>
      </c>
    </row>
    <row r="41" spans="2:37" ht="17.25" customHeight="1">
      <c r="B41" s="106" t="s">
        <v>89</v>
      </c>
      <c r="C41" s="107" t="s">
        <v>71</v>
      </c>
      <c r="D41" s="120"/>
      <c r="E41" s="121">
        <v>19</v>
      </c>
      <c r="F41" s="123"/>
      <c r="G41" s="35"/>
      <c r="H41" s="211"/>
      <c r="I41" s="207">
        <v>5</v>
      </c>
      <c r="J41" s="203">
        <v>5.95</v>
      </c>
      <c r="K41" s="35"/>
      <c r="L41" s="35">
        <v>5</v>
      </c>
      <c r="M41" s="210"/>
      <c r="N41" s="207"/>
      <c r="O41" s="123"/>
      <c r="P41" s="35"/>
      <c r="Q41" s="210"/>
      <c r="R41" s="207"/>
      <c r="S41" s="129"/>
      <c r="T41" s="35">
        <v>5</v>
      </c>
      <c r="U41" s="207"/>
      <c r="V41" s="207"/>
      <c r="W41" s="35"/>
      <c r="X41" s="35"/>
      <c r="Y41" s="227"/>
      <c r="Z41" s="227"/>
      <c r="AA41" s="35"/>
      <c r="AB41" s="35"/>
      <c r="AC41" s="207"/>
      <c r="AD41" s="207"/>
      <c r="AE41" s="138"/>
      <c r="AF41" s="119">
        <f t="shared" si="0"/>
        <v>39.95</v>
      </c>
      <c r="AK41" s="232">
        <f t="shared" si="1"/>
        <v>39.95</v>
      </c>
    </row>
    <row r="42" spans="2:37" ht="17.25" customHeight="1">
      <c r="B42" s="106" t="s">
        <v>244</v>
      </c>
      <c r="C42" s="107" t="s">
        <v>236</v>
      </c>
      <c r="D42" s="120"/>
      <c r="E42" s="121">
        <v>37.15</v>
      </c>
      <c r="F42" s="179"/>
      <c r="G42" s="35"/>
      <c r="H42" s="211"/>
      <c r="I42" s="207"/>
      <c r="J42" s="203"/>
      <c r="K42" s="35"/>
      <c r="L42" s="35"/>
      <c r="M42" s="211"/>
      <c r="N42" s="207"/>
      <c r="O42" s="123"/>
      <c r="P42" s="35"/>
      <c r="Q42" s="211"/>
      <c r="R42" s="207"/>
      <c r="S42" s="35"/>
      <c r="T42" s="35"/>
      <c r="U42" s="207"/>
      <c r="V42" s="207"/>
      <c r="W42" s="35"/>
      <c r="X42" s="35"/>
      <c r="Y42" s="227"/>
      <c r="Z42" s="227"/>
      <c r="AA42" s="35"/>
      <c r="AB42" s="35"/>
      <c r="AC42" s="207"/>
      <c r="AD42" s="207"/>
      <c r="AE42" s="138"/>
      <c r="AF42" s="119">
        <f t="shared" si="0"/>
        <v>37.15</v>
      </c>
      <c r="AK42" s="232">
        <f t="shared" si="1"/>
        <v>37.15</v>
      </c>
    </row>
    <row r="43" spans="2:37" ht="17.25" customHeight="1">
      <c r="B43" s="106" t="s">
        <v>122</v>
      </c>
      <c r="C43" s="107" t="s">
        <v>126</v>
      </c>
      <c r="D43" s="120"/>
      <c r="E43" s="121">
        <v>29</v>
      </c>
      <c r="F43" s="123"/>
      <c r="G43" s="35"/>
      <c r="H43" s="211"/>
      <c r="I43" s="207"/>
      <c r="J43" s="203"/>
      <c r="K43" s="35"/>
      <c r="L43" s="35"/>
      <c r="M43" s="210"/>
      <c r="N43" s="207"/>
      <c r="O43" s="123"/>
      <c r="P43" s="35"/>
      <c r="Q43" s="210"/>
      <c r="R43" s="207"/>
      <c r="S43" s="123"/>
      <c r="T43" s="35"/>
      <c r="U43" s="207"/>
      <c r="V43" s="207"/>
      <c r="W43" s="35"/>
      <c r="X43" s="35">
        <v>6.25</v>
      </c>
      <c r="Y43" s="227"/>
      <c r="Z43" s="227"/>
      <c r="AA43" s="35"/>
      <c r="AB43" s="35"/>
      <c r="AC43" s="207"/>
      <c r="AD43" s="207"/>
      <c r="AE43" s="145"/>
      <c r="AF43" s="119">
        <f t="shared" si="0"/>
        <v>35.25</v>
      </c>
      <c r="AK43" s="232">
        <f t="shared" si="1"/>
        <v>35.25</v>
      </c>
    </row>
    <row r="44" spans="2:37" ht="17.25" customHeight="1">
      <c r="B44" s="106" t="s">
        <v>139</v>
      </c>
      <c r="C44" s="107" t="s">
        <v>130</v>
      </c>
      <c r="D44" s="122"/>
      <c r="E44" s="121">
        <v>14</v>
      </c>
      <c r="F44" s="125"/>
      <c r="G44" s="35"/>
      <c r="H44" s="209"/>
      <c r="I44" s="207"/>
      <c r="J44" s="203">
        <v>5.95</v>
      </c>
      <c r="K44" s="38"/>
      <c r="M44" s="210">
        <v>5.28</v>
      </c>
      <c r="N44" s="207">
        <v>10</v>
      </c>
      <c r="O44" s="123"/>
      <c r="Q44" s="210"/>
      <c r="R44" s="207"/>
      <c r="S44" s="38"/>
      <c r="T44" s="38"/>
      <c r="U44" s="209"/>
      <c r="V44" s="209"/>
      <c r="W44" s="38"/>
      <c r="X44" s="38"/>
      <c r="Y44" s="228"/>
      <c r="Z44" s="228"/>
      <c r="AA44" s="38"/>
      <c r="AB44" s="38"/>
      <c r="AC44" s="209"/>
      <c r="AD44" s="209"/>
      <c r="AE44" s="139"/>
      <c r="AF44" s="119">
        <f t="shared" si="0"/>
        <v>29.95</v>
      </c>
      <c r="AH44" s="169"/>
      <c r="AI44" s="165"/>
      <c r="AJ44" s="165"/>
      <c r="AK44" s="232">
        <f t="shared" si="1"/>
        <v>29.95</v>
      </c>
    </row>
    <row r="45" spans="2:37" ht="17.25" customHeight="1">
      <c r="B45" s="106" t="s">
        <v>141</v>
      </c>
      <c r="C45" s="107" t="s">
        <v>61</v>
      </c>
      <c r="D45" s="120"/>
      <c r="E45" s="121">
        <v>19.5</v>
      </c>
      <c r="F45" s="123"/>
      <c r="G45" s="35"/>
      <c r="H45" s="211"/>
      <c r="I45" s="207"/>
      <c r="J45" s="203"/>
      <c r="K45" s="35">
        <v>5.15</v>
      </c>
      <c r="L45" s="35">
        <v>10</v>
      </c>
      <c r="M45" s="212"/>
      <c r="N45" s="207"/>
      <c r="O45" s="123"/>
      <c r="P45" s="35"/>
      <c r="Q45" s="212"/>
      <c r="R45" s="207"/>
      <c r="S45" s="35"/>
      <c r="T45" s="35"/>
      <c r="U45" s="207"/>
      <c r="V45" s="207"/>
      <c r="W45" s="35"/>
      <c r="X45" s="35"/>
      <c r="Y45" s="227"/>
      <c r="Z45" s="227"/>
      <c r="AA45" s="35"/>
      <c r="AB45" s="35"/>
      <c r="AC45" s="207"/>
      <c r="AD45" s="207"/>
      <c r="AE45" s="138"/>
      <c r="AF45" s="119">
        <f t="shared" si="0"/>
        <v>29.5</v>
      </c>
      <c r="AK45" s="232">
        <f t="shared" si="1"/>
        <v>29.5</v>
      </c>
    </row>
    <row r="46" spans="2:37" ht="17.25" customHeight="1">
      <c r="B46" s="106" t="s">
        <v>152</v>
      </c>
      <c r="C46" s="107" t="s">
        <v>190</v>
      </c>
      <c r="D46" s="120"/>
      <c r="E46" s="121">
        <v>28.65</v>
      </c>
      <c r="F46" s="179"/>
      <c r="G46" s="35"/>
      <c r="H46" s="209"/>
      <c r="I46" s="209"/>
      <c r="J46" s="203"/>
      <c r="K46" s="38"/>
      <c r="L46" s="201"/>
      <c r="M46" s="214"/>
      <c r="N46" s="207"/>
      <c r="O46" s="123"/>
      <c r="P46" s="38"/>
      <c r="Q46" s="214"/>
      <c r="R46" s="207"/>
      <c r="S46" s="35"/>
      <c r="T46" s="35"/>
      <c r="U46" s="207"/>
      <c r="V46" s="207"/>
      <c r="W46" s="35"/>
      <c r="X46" s="35"/>
      <c r="Y46" s="227"/>
      <c r="Z46" s="227"/>
      <c r="AA46" s="35"/>
      <c r="AB46" s="35"/>
      <c r="AC46" s="207"/>
      <c r="AD46" s="207"/>
      <c r="AE46" s="138"/>
      <c r="AF46" s="119">
        <f t="shared" si="0"/>
        <v>28.65</v>
      </c>
      <c r="AH46" s="166"/>
      <c r="AI46" s="165"/>
      <c r="AJ46" s="165"/>
      <c r="AK46" s="232">
        <f t="shared" si="1"/>
        <v>28.65</v>
      </c>
    </row>
    <row r="47" spans="2:37" ht="17.25" customHeight="1">
      <c r="B47" s="106" t="s">
        <v>153</v>
      </c>
      <c r="C47" s="107" t="s">
        <v>56</v>
      </c>
      <c r="D47" s="120"/>
      <c r="E47" s="121">
        <v>14</v>
      </c>
      <c r="F47" s="123"/>
      <c r="G47" s="35"/>
      <c r="H47" s="211"/>
      <c r="I47" s="207"/>
      <c r="J47" s="203"/>
      <c r="K47" s="35"/>
      <c r="L47" s="35"/>
      <c r="M47" s="210"/>
      <c r="N47" s="207"/>
      <c r="O47" s="131"/>
      <c r="P47" s="35"/>
      <c r="Q47" s="210"/>
      <c r="R47" s="207"/>
      <c r="S47" s="43"/>
      <c r="T47" s="35"/>
      <c r="U47" s="207"/>
      <c r="V47" s="207"/>
      <c r="W47" s="35"/>
      <c r="X47" s="35"/>
      <c r="Y47" s="227"/>
      <c r="Z47" s="227">
        <v>7.5</v>
      </c>
      <c r="AA47" s="35"/>
      <c r="AB47" s="35"/>
      <c r="AC47" s="207"/>
      <c r="AD47" s="207"/>
      <c r="AE47" s="137"/>
      <c r="AF47" s="119">
        <f t="shared" si="0"/>
        <v>21.5</v>
      </c>
      <c r="AH47" s="166"/>
      <c r="AI47" s="163"/>
      <c r="AJ47" s="165"/>
      <c r="AK47" s="232">
        <f t="shared" si="1"/>
        <v>21.5</v>
      </c>
    </row>
    <row r="48" spans="2:37" ht="17.25" customHeight="1">
      <c r="B48" s="106" t="s">
        <v>154</v>
      </c>
      <c r="C48" s="46" t="s">
        <v>78</v>
      </c>
      <c r="D48" s="122"/>
      <c r="E48" s="121">
        <v>13</v>
      </c>
      <c r="F48" s="123"/>
      <c r="G48" s="35"/>
      <c r="H48" s="209"/>
      <c r="I48" s="209"/>
      <c r="J48" s="205"/>
      <c r="K48" s="38"/>
      <c r="L48" s="38"/>
      <c r="M48" s="209">
        <v>6.14</v>
      </c>
      <c r="N48" s="207">
        <v>5</v>
      </c>
      <c r="O48" s="123"/>
      <c r="P48" s="38"/>
      <c r="Q48" s="209"/>
      <c r="R48" s="209"/>
      <c r="S48" s="38"/>
      <c r="T48" s="38"/>
      <c r="U48" s="209"/>
      <c r="V48" s="209"/>
      <c r="W48" s="38"/>
      <c r="X48" s="38"/>
      <c r="Y48" s="228"/>
      <c r="Z48" s="228"/>
      <c r="AA48" s="38"/>
      <c r="AB48" s="38"/>
      <c r="AC48" s="209"/>
      <c r="AD48" s="207"/>
      <c r="AE48" s="140"/>
      <c r="AF48" s="119">
        <f t="shared" si="0"/>
        <v>18</v>
      </c>
      <c r="AK48" s="232">
        <f t="shared" si="1"/>
        <v>18</v>
      </c>
    </row>
    <row r="49" spans="2:37" ht="17.25" customHeight="1">
      <c r="B49" s="106" t="s">
        <v>155</v>
      </c>
      <c r="C49" s="107" t="s">
        <v>198</v>
      </c>
      <c r="D49" s="120"/>
      <c r="E49" s="121">
        <v>14.671999999999992</v>
      </c>
      <c r="F49" s="179"/>
      <c r="G49" s="35"/>
      <c r="H49" s="209"/>
      <c r="I49" s="209"/>
      <c r="J49" s="203"/>
      <c r="K49" s="38"/>
      <c r="L49" s="201"/>
      <c r="M49" s="214"/>
      <c r="N49" s="207"/>
      <c r="O49" s="123"/>
      <c r="P49" s="38"/>
      <c r="Q49" s="214"/>
      <c r="R49" s="207"/>
      <c r="S49" s="35"/>
      <c r="T49" s="35"/>
      <c r="U49" s="207"/>
      <c r="V49" s="207"/>
      <c r="W49" s="35"/>
      <c r="X49" s="35"/>
      <c r="Y49" s="227"/>
      <c r="Z49" s="227"/>
      <c r="AA49" s="35"/>
      <c r="AB49" s="35"/>
      <c r="AC49" s="207"/>
      <c r="AD49" s="207"/>
      <c r="AE49" s="138"/>
      <c r="AF49" s="119">
        <f t="shared" si="0"/>
        <v>14.671999999999992</v>
      </c>
      <c r="AH49" s="172"/>
      <c r="AI49" s="165"/>
      <c r="AJ49" s="165"/>
      <c r="AK49" s="232">
        <f t="shared" si="1"/>
        <v>14.671999999999992</v>
      </c>
    </row>
    <row r="50" spans="2:37" ht="16.5" customHeight="1">
      <c r="B50" s="106" t="s">
        <v>160</v>
      </c>
      <c r="C50" s="46" t="s">
        <v>86</v>
      </c>
      <c r="D50" s="120"/>
      <c r="E50" s="121">
        <v>14</v>
      </c>
      <c r="F50" s="127"/>
      <c r="G50" s="35"/>
      <c r="H50" s="211"/>
      <c r="I50" s="207"/>
      <c r="J50" s="203"/>
      <c r="K50" s="35"/>
      <c r="L50" s="35"/>
      <c r="M50" s="212"/>
      <c r="N50" s="207"/>
      <c r="O50" s="123"/>
      <c r="P50" s="35"/>
      <c r="Q50" s="212"/>
      <c r="R50" s="207"/>
      <c r="S50" s="123"/>
      <c r="T50" s="35"/>
      <c r="U50" s="207"/>
      <c r="V50" s="207"/>
      <c r="W50" s="35"/>
      <c r="X50" s="35"/>
      <c r="Y50" s="227"/>
      <c r="Z50" s="227"/>
      <c r="AA50" s="35"/>
      <c r="AB50" s="35"/>
      <c r="AC50" s="207"/>
      <c r="AD50" s="207"/>
      <c r="AE50" s="138"/>
      <c r="AF50" s="119">
        <f t="shared" si="0"/>
        <v>14</v>
      </c>
      <c r="AG50" s="5"/>
      <c r="AH50" s="169"/>
      <c r="AI50" s="172"/>
      <c r="AJ50" s="172"/>
      <c r="AK50" s="232">
        <f t="shared" si="1"/>
        <v>14</v>
      </c>
    </row>
    <row r="51" spans="2:37" ht="17.25" customHeight="1">
      <c r="B51" s="106" t="s">
        <v>189</v>
      </c>
      <c r="C51" s="116" t="s">
        <v>291</v>
      </c>
      <c r="D51" s="115"/>
      <c r="E51" s="48">
        <v>0</v>
      </c>
      <c r="F51" s="182"/>
      <c r="G51" s="49"/>
      <c r="H51" s="115"/>
      <c r="I51" s="115"/>
      <c r="J51" s="124"/>
      <c r="K51" s="115"/>
      <c r="L51" s="115"/>
      <c r="M51" s="115"/>
      <c r="N51" s="115"/>
      <c r="O51" s="124"/>
      <c r="P51" s="49"/>
      <c r="Q51" s="115"/>
      <c r="R51" s="115"/>
      <c r="S51" s="124"/>
      <c r="T51" s="49"/>
      <c r="U51" s="49"/>
      <c r="V51" s="49"/>
      <c r="W51" s="124">
        <v>5.52</v>
      </c>
      <c r="X51" s="49">
        <f>12.5*LOOKUP(W51,Performance2013!$C$1:$C$123,Performance2013!$D$1:$D$123)</f>
        <v>12.499999999999991</v>
      </c>
      <c r="Y51" s="49"/>
      <c r="Z51" s="49"/>
      <c r="AA51" s="49"/>
      <c r="AB51" s="49"/>
      <c r="AC51" s="49"/>
      <c r="AD51" s="49"/>
      <c r="AE51" s="136"/>
      <c r="AF51" s="119">
        <f t="shared" si="0"/>
        <v>12.499999999999991</v>
      </c>
      <c r="AG51" s="5"/>
      <c r="AH51" s="5"/>
      <c r="AI51" s="5"/>
      <c r="AJ51" s="5"/>
      <c r="AK51" s="232">
        <f t="shared" si="1"/>
        <v>12.499999999999991</v>
      </c>
    </row>
    <row r="52" spans="2:37" ht="17.25" customHeight="1">
      <c r="B52" s="106" t="s">
        <v>192</v>
      </c>
      <c r="C52" s="107" t="s">
        <v>159</v>
      </c>
      <c r="D52" s="122"/>
      <c r="E52" s="121">
        <v>5</v>
      </c>
      <c r="F52" s="123"/>
      <c r="G52" s="35"/>
      <c r="H52" s="209"/>
      <c r="I52" s="209"/>
      <c r="J52" s="203"/>
      <c r="K52" s="38"/>
      <c r="M52" s="214"/>
      <c r="N52" s="207"/>
      <c r="O52" s="123"/>
      <c r="P52" s="128"/>
      <c r="Q52" s="214"/>
      <c r="R52" s="207"/>
      <c r="S52" s="38"/>
      <c r="T52" s="38"/>
      <c r="U52" s="209"/>
      <c r="V52" s="209"/>
      <c r="W52" s="38"/>
      <c r="X52" s="38"/>
      <c r="Y52" s="228"/>
      <c r="Z52" s="228"/>
      <c r="AA52" s="38"/>
      <c r="AB52" s="38"/>
      <c r="AC52" s="209"/>
      <c r="AD52" s="209"/>
      <c r="AE52" s="138"/>
      <c r="AF52" s="119">
        <f t="shared" si="0"/>
        <v>5</v>
      </c>
      <c r="AG52" s="5"/>
      <c r="AH52" s="5"/>
      <c r="AI52" s="5"/>
      <c r="AJ52" s="5"/>
      <c r="AK52" s="232">
        <f t="shared" si="1"/>
        <v>5</v>
      </c>
    </row>
    <row r="53" spans="2:37" ht="17.25" customHeight="1">
      <c r="B53" s="106" t="s">
        <v>199</v>
      </c>
      <c r="C53" s="107"/>
      <c r="D53" s="122"/>
      <c r="E53" s="121">
        <v>0</v>
      </c>
      <c r="F53" s="181"/>
      <c r="H53" s="209"/>
      <c r="I53" s="209"/>
      <c r="J53" s="206"/>
      <c r="K53" s="38"/>
      <c r="M53" s="209"/>
      <c r="N53" s="213"/>
      <c r="O53" s="36"/>
      <c r="Q53" s="209"/>
      <c r="R53" s="213"/>
      <c r="S53" s="38"/>
      <c r="T53" s="38"/>
      <c r="U53" s="209"/>
      <c r="V53" s="209"/>
      <c r="W53" s="38"/>
      <c r="X53" s="38"/>
      <c r="Y53" s="228"/>
      <c r="Z53" s="228"/>
      <c r="AA53" s="38"/>
      <c r="AB53" s="38"/>
      <c r="AC53" s="209"/>
      <c r="AD53" s="209"/>
      <c r="AE53" s="139"/>
      <c r="AF53" s="119">
        <f t="shared" si="0"/>
        <v>0</v>
      </c>
      <c r="AG53" s="5"/>
      <c r="AH53" s="5"/>
      <c r="AI53" s="5"/>
      <c r="AJ53" s="5"/>
      <c r="AK53" s="232">
        <f t="shared" si="1"/>
        <v>0</v>
      </c>
    </row>
    <row r="54" spans="2:37" ht="12.75">
      <c r="B54" s="117"/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7"/>
      <c r="O54" s="117"/>
      <c r="P54" s="117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78"/>
      <c r="AH54" s="178"/>
      <c r="AI54" s="178"/>
      <c r="AJ54" s="178"/>
      <c r="AK54" s="178"/>
    </row>
    <row r="55" spans="2:37" ht="12.75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  <c r="O55" s="117"/>
      <c r="P55" s="117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7"/>
      <c r="AF55" s="141">
        <f>SUM(AF11:AF52)</f>
        <v>5114.777199999998</v>
      </c>
      <c r="AG55" s="178"/>
      <c r="AH55" s="178"/>
      <c r="AI55" s="178"/>
      <c r="AJ55" s="178"/>
      <c r="AK55" s="178"/>
    </row>
    <row r="58" spans="2:16" ht="12.75">
      <c r="B58" s="36" t="s">
        <v>131</v>
      </c>
      <c r="C58" s="252" t="s">
        <v>132</v>
      </c>
      <c r="D58" s="252"/>
      <c r="E58" s="252"/>
      <c r="F58" s="252"/>
      <c r="G58" s="252"/>
      <c r="H58" s="252"/>
      <c r="I58" s="252"/>
      <c r="J58" s="252"/>
      <c r="K58" s="252"/>
      <c r="L58" s="252"/>
      <c r="M58" s="157"/>
      <c r="N58" s="158"/>
      <c r="O58" s="158"/>
      <c r="P58" s="158"/>
    </row>
    <row r="59" spans="3:16" ht="12.75">
      <c r="C59" s="277" t="s">
        <v>143</v>
      </c>
      <c r="D59" s="277"/>
      <c r="E59" s="277"/>
      <c r="F59" s="277"/>
      <c r="G59" s="277"/>
      <c r="H59" s="277"/>
      <c r="I59" s="277"/>
      <c r="J59" s="277"/>
      <c r="K59" s="277"/>
      <c r="L59" s="277"/>
      <c r="M59" s="159"/>
      <c r="N59" s="160"/>
      <c r="O59" s="160"/>
      <c r="P59" s="160"/>
    </row>
    <row r="60" spans="3:12" ht="13.5" thickBot="1"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2:16" ht="12.75">
      <c r="B61" s="193"/>
      <c r="C61" s="187" t="s">
        <v>163</v>
      </c>
      <c r="D61" s="187"/>
      <c r="E61" s="187"/>
      <c r="F61" s="187"/>
      <c r="G61" s="187"/>
      <c r="H61" s="187"/>
      <c r="I61" s="189"/>
      <c r="J61" s="189"/>
      <c r="K61" s="189"/>
      <c r="L61" s="189"/>
      <c r="M61" s="191"/>
      <c r="N61" s="183"/>
      <c r="O61" s="183"/>
      <c r="P61" s="184"/>
    </row>
    <row r="62" spans="2:16" ht="13.5" thickBot="1">
      <c r="B62" s="194"/>
      <c r="C62" s="188" t="s">
        <v>148</v>
      </c>
      <c r="D62" s="188"/>
      <c r="E62" s="188"/>
      <c r="F62" s="188"/>
      <c r="G62" s="188"/>
      <c r="H62" s="188"/>
      <c r="I62" s="190"/>
      <c r="J62" s="190"/>
      <c r="K62" s="190"/>
      <c r="L62" s="190"/>
      <c r="M62" s="192"/>
      <c r="N62" s="185"/>
      <c r="O62" s="185"/>
      <c r="P62" s="186"/>
    </row>
  </sheetData>
  <sheetProtection/>
  <mergeCells count="46">
    <mergeCell ref="AA8:AB8"/>
    <mergeCell ref="B2:AF3"/>
    <mergeCell ref="AH2:AJ2"/>
    <mergeCell ref="C4:AE4"/>
    <mergeCell ref="D6:E6"/>
    <mergeCell ref="F6:G6"/>
    <mergeCell ref="H6:I6"/>
    <mergeCell ref="K6:L6"/>
    <mergeCell ref="M6:N6"/>
    <mergeCell ref="Y6:Z6"/>
    <mergeCell ref="O6:P6"/>
    <mergeCell ref="Q6:R6"/>
    <mergeCell ref="W7:X7"/>
    <mergeCell ref="AC7:AD7"/>
    <mergeCell ref="U6:V6"/>
    <mergeCell ref="S6:T6"/>
    <mergeCell ref="W6:X6"/>
    <mergeCell ref="AC6:AD6"/>
    <mergeCell ref="Y7:Z7"/>
    <mergeCell ref="AA6:AB6"/>
    <mergeCell ref="AA7:AB7"/>
    <mergeCell ref="U7:V7"/>
    <mergeCell ref="S7:T7"/>
    <mergeCell ref="D7:E7"/>
    <mergeCell ref="F7:G7"/>
    <mergeCell ref="H7:I7"/>
    <mergeCell ref="K7:L7"/>
    <mergeCell ref="M7:N7"/>
    <mergeCell ref="O7:P7"/>
    <mergeCell ref="Q7:R7"/>
    <mergeCell ref="C59:L59"/>
    <mergeCell ref="D9:E9"/>
    <mergeCell ref="C58:L58"/>
    <mergeCell ref="Q8:R8"/>
    <mergeCell ref="M8:N8"/>
    <mergeCell ref="O8:P8"/>
    <mergeCell ref="AC8:AD8"/>
    <mergeCell ref="B8:C8"/>
    <mergeCell ref="D8:E8"/>
    <mergeCell ref="F8:G8"/>
    <mergeCell ref="H8:I8"/>
    <mergeCell ref="K8:L8"/>
    <mergeCell ref="S8:T8"/>
    <mergeCell ref="W8:X8"/>
    <mergeCell ref="U8:V8"/>
    <mergeCell ref="Y8:Z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PATRIZIO ASTOLFI</cp:lastModifiedBy>
  <cp:lastPrinted>2012-12-05T10:13:31Z</cp:lastPrinted>
  <dcterms:created xsi:type="dcterms:W3CDTF">2011-02-20T17:23:41Z</dcterms:created>
  <dcterms:modified xsi:type="dcterms:W3CDTF">2013-12-18T17:46:19Z</dcterms:modified>
  <cp:category/>
  <cp:version/>
  <cp:contentType/>
  <cp:contentStatus/>
</cp:coreProperties>
</file>